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ssoa1\AppData\Local\Microsoft\Windows\INetCache\Content.Outlook\16JR6W4A\"/>
    </mc:Choice>
  </mc:AlternateContent>
  <xr:revisionPtr revIDLastSave="0" documentId="13_ncr:1_{E4FD78F7-CA99-4828-9851-DD6F08C8AFF4}" xr6:coauthVersionLast="47" xr6:coauthVersionMax="47" xr10:uidLastSave="{00000000-0000-0000-0000-000000000000}"/>
  <bookViews>
    <workbookView xWindow="-120" yWindow="-120" windowWidth="29040" windowHeight="15720" xr2:uid="{201EA6F8-AB50-44A9-9C30-FDC4ECD68F9E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0" i="1" l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F194" i="1"/>
  <c r="E194" i="1"/>
  <c r="D194" i="1"/>
  <c r="B194" i="1"/>
  <c r="A194" i="1"/>
  <c r="H193" i="1"/>
  <c r="F193" i="1"/>
  <c r="E193" i="1"/>
  <c r="D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F9" i="1"/>
  <c r="E9" i="1"/>
  <c r="D9" i="1"/>
  <c r="C9" i="1"/>
  <c r="B9" i="1"/>
  <c r="A9" i="1"/>
  <c r="H8" i="1"/>
  <c r="F8" i="1"/>
  <c r="E8" i="1"/>
  <c r="D8" i="1"/>
  <c r="C8" i="1"/>
  <c r="B8" i="1"/>
  <c r="A8" i="1"/>
  <c r="H7" i="1"/>
  <c r="F7" i="1"/>
  <c r="E7" i="1"/>
  <c r="D7" i="1"/>
  <c r="C7" i="1"/>
  <c r="B7" i="1"/>
  <c r="A7" i="1"/>
  <c r="H6" i="1"/>
  <c r="F6" i="1"/>
  <c r="E6" i="1"/>
  <c r="D6" i="1"/>
  <c r="C6" i="1"/>
  <c r="B6" i="1"/>
  <c r="A6" i="1"/>
  <c r="H5" i="1"/>
  <c r="F5" i="1"/>
  <c r="E5" i="1"/>
  <c r="D5" i="1"/>
  <c r="C5" i="1"/>
  <c r="B5" i="1"/>
  <c r="A5" i="1"/>
  <c r="H4" i="1"/>
  <c r="F4" i="1"/>
  <c r="E4" i="1"/>
  <c r="D4" i="1"/>
  <c r="C4" i="1"/>
  <c r="B4" i="1"/>
  <c r="A4" i="1"/>
  <c r="H3" i="1"/>
  <c r="F3" i="1"/>
  <c r="E3" i="1"/>
  <c r="D3" i="1"/>
  <c r="C3" i="1"/>
  <c r="B3" i="1"/>
  <c r="A3" i="1"/>
</calcChain>
</file>

<file path=xl/sharedStrings.xml><?xml version="1.0" encoding="utf-8"?>
<sst xmlns="http://schemas.openxmlformats.org/spreadsheetml/2006/main" count="23" uniqueCount="22">
  <si>
    <t>Resoconti della gestione finanziaria dei contratti al termine della loro esecuzione</t>
  </si>
  <si>
    <t>CIG</t>
  </si>
  <si>
    <t>Struttura Proponente</t>
  </si>
  <si>
    <t>Oggetto</t>
  </si>
  <si>
    <t>Procedura di scelta del contraente</t>
  </si>
  <si>
    <t>Aggiudicatario</t>
  </si>
  <si>
    <t>Importo di aggiudicazione</t>
  </si>
  <si>
    <t>Tempi di Completamento dell'opera</t>
  </si>
  <si>
    <t>Importo delle Somme Liquidate</t>
  </si>
  <si>
    <t>Importo complessivo dello scostamento</t>
  </si>
  <si>
    <t>01/01/2022 - 31/12/2022</t>
  </si>
  <si>
    <t>01/01/2021 - 01/12/2021</t>
  </si>
  <si>
    <t>23/11/2021 - 23/06/2022</t>
  </si>
  <si>
    <t>16/01/2021 - 31/12/2021</t>
  </si>
  <si>
    <t>01/07/2021 - 31/10/2021</t>
  </si>
  <si>
    <t>01/01/2020 - 31/12/2020</t>
  </si>
  <si>
    <t xml:space="preserve">17/07/2020 - 31/12/2020 </t>
  </si>
  <si>
    <t>05/12/2019 - 31/08/2020</t>
  </si>
  <si>
    <t>="Invito a procedura negoziata ai sensi dell’art. 36, comma 2, lett. b) del D. Lgs. 18/04/2016, n. 50 e smi, riguardante l'affidamento di un Accordo Quadro ex art. 54 del D. Lgs 50/2016 “Fornitura di conglomerato asfalto a caldo per squadre dei PIS – Pronto Intervento Strade della Napoli Servizi, impegnate sul territorio del Comune di Napoli”"</t>
  </si>
  <si>
    <t>21/02/2019 - 30/06/2019</t>
  </si>
  <si>
    <t>="Invito a procedura negoziata ai sensi dell’art. 36, comma 2, lett. b) del D. Lgs. 18/04/2016 n. 50 e ss.mm.ii., riguardante l'affidamento di un Accordo Quadro ex art. 54 del D. Lgs 50/2016 “SERVIZI SPECIALISTICI FINALIZZATI ALLE INDAGINI E PROVE SU STRUTTURE ESISTENTI” SU RICHIESTA DELLA NAPOLI SERVIZI”, impegnata con le proprie strutture tecniche sul territorio del Comune di Napoli"</t>
  </si>
  <si>
    <t>10/04/2019 - 30/06/2019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</si>
</sst>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2E52C-65F6-4837-BF5F-108B1E04FCFF}">
  <dimension ref="A1:I220"/>
  <sheetViews>
    <sheetView tabSelected="1" zoomScaleNormal="100" workbookViewId="0">
      <selection sqref="A1:I1"/>
    </sheetView>
  </sheetViews>
  <sheetFormatPr defaultRowHeight="15" x14ac:dyDescent="0.25"/>
  <cols>
    <col min="1" max="1" width="12.28515625" bestFit="1" customWidth="1"/>
    <col min="2" max="2" width="32" bestFit="1" customWidth="1"/>
    <col min="3" max="3" width="36.42578125" customWidth="1"/>
    <col min="4" max="4" width="73.140625" bestFit="1" customWidth="1"/>
    <col min="5" max="5" width="74.28515625" bestFit="1" customWidth="1"/>
    <col min="6" max="6" width="24.28515625" bestFit="1" customWidth="1"/>
    <col min="7" max="7" width="33.85546875" bestFit="1" customWidth="1"/>
    <col min="8" max="8" width="29.7109375" bestFit="1" customWidth="1"/>
    <col min="9" max="9" width="37.140625" bestFit="1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</row>
    <row r="3" spans="1:9" x14ac:dyDescent="0.25">
      <c r="A3" t="str">
        <f>"Z2535AD380"</f>
        <v>Z2535AD380</v>
      </c>
      <c r="B3" t="str">
        <f t="shared" ref="B3:B66" si="0">"Napoli Servizi S.p.A. - 07577090637"</f>
        <v>Napoli Servizi S.p.A. - 07577090637</v>
      </c>
      <c r="C3" t="str">
        <f>"SERVIZIO CONSERVAZIONE ARCHIVIO"</f>
        <v>SERVIZIO CONSERVAZIONE ARCHIVIO</v>
      </c>
      <c r="D3" t="str">
        <f t="shared" ref="D3:D11" si="1">"23-AFFIDAMENTO DIRETTO"</f>
        <v>23-AFFIDAMENTO DIRETTO</v>
      </c>
      <c r="E3" t="str">
        <f>"ITALARCHIVI - 10729070150"</f>
        <v>ITALARCHIVI - 10729070150</v>
      </c>
      <c r="F3" t="str">
        <f>"10.000,00 EUR"</f>
        <v>10.000,00 EUR</v>
      </c>
      <c r="G3" t="s">
        <v>10</v>
      </c>
      <c r="H3" t="str">
        <f>"9.369,38 EUR"</f>
        <v>9.369,38 EUR</v>
      </c>
    </row>
    <row r="4" spans="1:9" x14ac:dyDescent="0.25">
      <c r="A4" t="str">
        <f>"Z4731E7F7F"</f>
        <v>Z4731E7F7F</v>
      </c>
      <c r="B4" t="str">
        <f t="shared" si="0"/>
        <v>Napoli Servizi S.p.A. - 07577090637</v>
      </c>
      <c r="C4" t="str">
        <f>"Servizio Acc-Incassi Anno 2021"</f>
        <v>Servizio Acc-Incassi Anno 2021</v>
      </c>
      <c r="D4" t="str">
        <f t="shared" si="1"/>
        <v>23-AFFIDAMENTO DIRETTO</v>
      </c>
      <c r="E4" t="str">
        <f>"Barrett Consulting s.r.l.u. - 03880390616"</f>
        <v>Barrett Consulting s.r.l.u. - 03880390616</v>
      </c>
      <c r="F4" t="str">
        <f>"14.000,00 EUR"</f>
        <v>14.000,00 EUR</v>
      </c>
      <c r="G4" t="s">
        <v>11</v>
      </c>
      <c r="H4" t="str">
        <f>"3.000,00 EUR"</f>
        <v>3.000,00 EUR</v>
      </c>
    </row>
    <row r="5" spans="1:9" x14ac:dyDescent="0.25">
      <c r="A5" t="str">
        <f>"Z75339D9A8"</f>
        <v>Z75339D9A8</v>
      </c>
      <c r="B5" t="str">
        <f t="shared" si="0"/>
        <v>Napoli Servizi S.p.A. - 07577090637</v>
      </c>
      <c r="C5" t="str">
        <f>"ODA 6423422 - Servizio VIDE"</f>
        <v>ODA 6423422 - Servizio VIDE</v>
      </c>
      <c r="D5" t="str">
        <f t="shared" si="1"/>
        <v>23-AFFIDAMENTO DIRETTO</v>
      </c>
      <c r="E5" t="str">
        <f>"CSI PIEMONTE - 01995120019"</f>
        <v>CSI PIEMONTE - 01995120019</v>
      </c>
      <c r="F5" t="str">
        <f>"5.760,00 EUR"</f>
        <v>5.760,00 EUR</v>
      </c>
      <c r="G5" t="s">
        <v>12</v>
      </c>
      <c r="H5" t="str">
        <f>"4.270,04 EUR"</f>
        <v>4.270,04 EUR</v>
      </c>
    </row>
    <row r="6" spans="1:9" x14ac:dyDescent="0.25">
      <c r="A6" t="str">
        <f>"Z4530AC0A4"</f>
        <v>Z4530AC0A4</v>
      </c>
      <c r="B6" t="str">
        <f t="shared" si="0"/>
        <v>Napoli Servizi S.p.A. - 07577090637</v>
      </c>
      <c r="C6" t="str">
        <f>"SERVIZIO DI CONSERVAZIONE ARCHIVIO"</f>
        <v>SERVIZIO DI CONSERVAZIONE ARCHIVIO</v>
      </c>
      <c r="D6" t="str">
        <f t="shared" si="1"/>
        <v>23-AFFIDAMENTO DIRETTO</v>
      </c>
      <c r="E6" t="str">
        <f>"ITALARCHIVI - 10729070150"</f>
        <v>ITALARCHIVI - 10729070150</v>
      </c>
      <c r="F6" t="str">
        <f>"10.000,00 EUR"</f>
        <v>10.000,00 EUR</v>
      </c>
      <c r="G6" t="s">
        <v>13</v>
      </c>
      <c r="H6" t="str">
        <f>"4.749,52 EUR"</f>
        <v>4.749,52 EUR</v>
      </c>
    </row>
    <row r="7" spans="1:9" x14ac:dyDescent="0.25">
      <c r="A7" t="str">
        <f>"ZC03280A1A"</f>
        <v>ZC03280A1A</v>
      </c>
      <c r="B7" t="str">
        <f t="shared" si="0"/>
        <v>Napoli Servizi S.p.A. - 07577090637</v>
      </c>
      <c r="C7" t="str">
        <f>"SERVIZI DI POSTALIZZAZIONE"</f>
        <v>SERVIZI DI POSTALIZZAZIONE</v>
      </c>
      <c r="D7" t="str">
        <f t="shared" si="1"/>
        <v>23-AFFIDAMENTO DIRETTO</v>
      </c>
      <c r="E7" t="str">
        <f>"Imbalplast - 01452051210"</f>
        <v>Imbalplast - 01452051210</v>
      </c>
      <c r="F7" t="str">
        <f>"10.000,00 EUR"</f>
        <v>10.000,00 EUR</v>
      </c>
      <c r="G7" t="s">
        <v>14</v>
      </c>
      <c r="H7" t="str">
        <f>"10.084,71 EUR"</f>
        <v>10.084,71 EUR</v>
      </c>
    </row>
    <row r="8" spans="1:9" x14ac:dyDescent="0.25">
      <c r="A8" t="str">
        <f>"ZCF3280A39"</f>
        <v>ZCF3280A39</v>
      </c>
      <c r="B8" t="str">
        <f t="shared" si="0"/>
        <v>Napoli Servizi S.p.A. - 07577090637</v>
      </c>
      <c r="C8" t="str">
        <f>"SERVIZI DI POSTELIZZAZIONE"</f>
        <v>SERVIZI DI POSTELIZZAZIONE</v>
      </c>
      <c r="D8" t="str">
        <f t="shared" si="1"/>
        <v>23-AFFIDAMENTO DIRETTO</v>
      </c>
      <c r="E8" t="str">
        <f>"CRC POST SRL - 06024901214"</f>
        <v>CRC POST SRL - 06024901214</v>
      </c>
      <c r="F8" t="str">
        <f>"30.000,00 EUR"</f>
        <v>30.000,00 EUR</v>
      </c>
      <c r="G8" t="s">
        <v>15</v>
      </c>
      <c r="H8" t="str">
        <f>"0,00 EUR"</f>
        <v>0,00 EUR</v>
      </c>
    </row>
    <row r="9" spans="1:9" x14ac:dyDescent="0.25">
      <c r="A9" t="str">
        <f>"ZAB2DB0FE2"</f>
        <v>ZAB2DB0FE2</v>
      </c>
      <c r="B9" t="str">
        <f t="shared" si="0"/>
        <v>Napoli Servizi S.p.A. - 07577090637</v>
      </c>
      <c r="C9" t="str">
        <f>"Conservazione ARCHIVIO"</f>
        <v>Conservazione ARCHIVIO</v>
      </c>
      <c r="D9" t="str">
        <f t="shared" si="1"/>
        <v>23-AFFIDAMENTO DIRETTO</v>
      </c>
      <c r="E9" t="str">
        <f>"ITALARCHIVI - 01957010349"</f>
        <v>ITALARCHIVI - 01957010349</v>
      </c>
      <c r="F9" t="str">
        <f>"10.000,00 EUR"</f>
        <v>10.000,00 EUR</v>
      </c>
      <c r="G9" t="s">
        <v>16</v>
      </c>
      <c r="H9" t="str">
        <f>"0,00 EUR"</f>
        <v>0,00 EUR</v>
      </c>
    </row>
    <row r="10" spans="1:9" x14ac:dyDescent="0.25">
      <c r="A10" t="str">
        <f>"Z9C2F5E5E8"</f>
        <v>Z9C2F5E5E8</v>
      </c>
      <c r="B10" t="str">
        <f t="shared" si="0"/>
        <v>Napoli Servizi S.p.A. - 07577090637</v>
      </c>
      <c r="C10" t="str">
        <f>"Aff_Diretto - INDIA"</f>
        <v>Aff_Diretto - INDIA</v>
      </c>
      <c r="D10" t="str">
        <f t="shared" si="1"/>
        <v>23-AFFIDAMENTO DIRETTO</v>
      </c>
      <c r="E10" t="str">
        <f>"INDIA INDUSTRIE CHIMICHE SRL - 04824500286"</f>
        <v>INDIA INDUSTRIE CHIMICHE SRL - 04824500286</v>
      </c>
      <c r="F10" t="str">
        <f>"380,00 EUR"</f>
        <v>380,00 EUR</v>
      </c>
      <c r="G10" t="str">
        <f>"01/01/2020 - 31/12/2020"</f>
        <v>01/01/2020 - 31/12/2020</v>
      </c>
      <c r="H10" t="str">
        <f>"0,00 EUR"</f>
        <v>0,00 EUR</v>
      </c>
    </row>
    <row r="11" spans="1:9" x14ac:dyDescent="0.25">
      <c r="A11" t="str">
        <f>"Z1E2C6FC80"</f>
        <v>Z1E2C6FC80</v>
      </c>
      <c r="B11" t="str">
        <f t="shared" si="0"/>
        <v>Napoli Servizi S.p.A. - 07577090637</v>
      </c>
      <c r="C11" t="str">
        <f>"servizio Incassi Anno 2020"</f>
        <v>servizio Incassi Anno 2020</v>
      </c>
      <c r="D11" t="str">
        <f t="shared" si="1"/>
        <v>23-AFFIDAMENTO DIRETTO</v>
      </c>
      <c r="E11" t="str">
        <f>"BARRET CONSULTING SPA - 03880390616"</f>
        <v>BARRET CONSULTING SPA - 03880390616</v>
      </c>
      <c r="F11" t="str">
        <f>"14.000,00 EUR"</f>
        <v>14.000,00 EUR</v>
      </c>
      <c r="G11" t="s">
        <v>15</v>
      </c>
      <c r="H11" t="str">
        <f>"0,00 EUR"</f>
        <v>0,00 EUR</v>
      </c>
    </row>
    <row r="12" spans="1:9" x14ac:dyDescent="0.25">
      <c r="A12" t="str">
        <f>"ZC7270A92F"</f>
        <v>ZC7270A92F</v>
      </c>
      <c r="B12" t="str">
        <f t="shared" si="0"/>
        <v>Napoli Servizi S.p.A. - 07577090637</v>
      </c>
      <c r="C12" t="str">
        <f>"RDO-APERTA MePA 2208844"</f>
        <v>RDO-APERTA MePA 2208844</v>
      </c>
      <c r="D12" t="str">
        <f>"04-PROCEDURA NEGOZIATA SENZA PREVIA PUBBLICAZIONE"</f>
        <v>04-PROCEDURA NEGOZIATA SENZA PREVIA PUBBLICAZIONE</v>
      </c>
      <c r="E12" t="str">
        <f>"KORA SISTEMI INFORMATICI SRL - 02048930206"</f>
        <v>KORA SISTEMI INFORMATICI SRL - 02048930206</v>
      </c>
      <c r="F12" t="str">
        <f>"6.093,00 EUR"</f>
        <v>6.093,00 EUR</v>
      </c>
      <c r="G12" t="str">
        <f>"01/01/2019 - 31/12/2019"</f>
        <v>01/01/2019 - 31/12/2019</v>
      </c>
      <c r="H12" t="str">
        <f>"6.093,00 EUR"</f>
        <v>6.093,00 EUR</v>
      </c>
    </row>
    <row r="13" spans="1:9" x14ac:dyDescent="0.25">
      <c r="A13" t="str">
        <f>"Z4526EF32C"</f>
        <v>Z4526EF32C</v>
      </c>
      <c r="B13" t="str">
        <f t="shared" si="0"/>
        <v>Napoli Servizi S.p.A. - 07577090637</v>
      </c>
      <c r="C13" t="str">
        <f>"ODA 4756014 - Aff_Diretto"</f>
        <v>ODA 4756014 - Aff_Diretto</v>
      </c>
      <c r="D13" t="str">
        <f>"23-AFFIDAMENTO DIRETTO"</f>
        <v>23-AFFIDAMENTO DIRETTO</v>
      </c>
      <c r="E13" t="str">
        <f>"INFOCERT S.P.A. - 07945211006"</f>
        <v>INFOCERT S.P.A. - 07945211006</v>
      </c>
      <c r="F13" t="str">
        <f>"138,00 EUR"</f>
        <v>138,00 EUR</v>
      </c>
      <c r="G13" t="str">
        <f>"01/01/2019 - 31/12/2019"</f>
        <v>01/01/2019 - 31/12/2019</v>
      </c>
      <c r="H13" t="str">
        <f>"138,00 EUR"</f>
        <v>138,00 EUR</v>
      </c>
    </row>
    <row r="14" spans="1:9" x14ac:dyDescent="0.25">
      <c r="A14" t="str">
        <f>"ZA326EF10E"</f>
        <v>ZA326EF10E</v>
      </c>
      <c r="B14" t="str">
        <f t="shared" si="0"/>
        <v>Napoli Servizi S.p.A. - 07577090637</v>
      </c>
      <c r="C14" t="str">
        <f>"ODA 4754516 - Aff_Diretto"</f>
        <v>ODA 4754516 - Aff_Diretto</v>
      </c>
      <c r="D14" t="str">
        <f>"23-AFFIDAMENTO DIRETTO"</f>
        <v>23-AFFIDAMENTO DIRETTO</v>
      </c>
      <c r="E14" t="str">
        <f>"SIAV - 02334550288"</f>
        <v>SIAV - 02334550288</v>
      </c>
      <c r="F14" t="str">
        <f>"11.424,00 EUR"</f>
        <v>11.424,00 EUR</v>
      </c>
      <c r="G14" t="str">
        <f>"01/01/2019 - 31/12/2019"</f>
        <v>01/01/2019 - 31/12/2019</v>
      </c>
      <c r="H14" t="str">
        <f>"11.424,00 EUR"</f>
        <v>11.424,00 EUR</v>
      </c>
    </row>
    <row r="15" spans="1:9" x14ac:dyDescent="0.25">
      <c r="A15" t="str">
        <f>"ZD126E0856"</f>
        <v>ZD126E0856</v>
      </c>
      <c r="B15" t="str">
        <f t="shared" si="0"/>
        <v>Napoli Servizi S.p.A. - 07577090637</v>
      </c>
      <c r="C15" t="str">
        <f>"ODA 4749890 - Aff_Diretto"</f>
        <v>ODA 4749890 - Aff_Diretto</v>
      </c>
      <c r="D15" t="str">
        <f>"23-AFFIDAMENTO DIRETTO"</f>
        <v>23-AFFIDAMENTO DIRETTO</v>
      </c>
      <c r="E15" t="str">
        <f>"INNOVATIVE DATA CONNECTIONS SRL - 10262960965"</f>
        <v>INNOVATIVE DATA CONNECTIONS SRL - 10262960965</v>
      </c>
      <c r="F15" t="str">
        <f>"30.576,00 EUR"</f>
        <v>30.576,00 EUR</v>
      </c>
      <c r="G15" t="str">
        <f>"01/01/2019 - 31/12/2019"</f>
        <v>01/01/2019 - 31/12/2019</v>
      </c>
      <c r="H15" t="str">
        <f>"30.576,00 EUR"</f>
        <v>30.576,00 EUR</v>
      </c>
    </row>
    <row r="16" spans="1:9" x14ac:dyDescent="0.25">
      <c r="A16" t="str">
        <f>"Z8F26C4E01"</f>
        <v>Z8F26C4E01</v>
      </c>
      <c r="B16" t="str">
        <f t="shared" si="0"/>
        <v>Napoli Servizi S.p.A. - 07577090637</v>
      </c>
      <c r="C16" t="str">
        <f>"Aff_Diretto ODA4735944"</f>
        <v>Aff_Diretto ODA4735944</v>
      </c>
      <c r="D16" t="str">
        <f>"23-AFFIDAMENTO DIRETTO"</f>
        <v>23-AFFIDAMENTO DIRETTO</v>
      </c>
      <c r="E16" t="str">
        <f>"SOFTWARE E NUOVE TECNOLOGIE - 04514100488"</f>
        <v>SOFTWARE E NUOVE TECNOLOGIE - 04514100488</v>
      </c>
      <c r="F16" t="str">
        <f>"1.934,00 EUR"</f>
        <v>1.934,00 EUR</v>
      </c>
      <c r="G16" t="str">
        <f>"01/01/2019 - 31/01/2020"</f>
        <v>01/01/2019 - 31/01/2020</v>
      </c>
      <c r="H16" t="str">
        <f>"0,00 EUR"</f>
        <v>0,00 EUR</v>
      </c>
    </row>
    <row r="17" spans="1:8" x14ac:dyDescent="0.25">
      <c r="A17" t="str">
        <f>"ZAC26B077B"</f>
        <v>ZAC26B077B</v>
      </c>
      <c r="B17" t="str">
        <f t="shared" si="0"/>
        <v>Napoli Servizi S.p.A. - 07577090637</v>
      </c>
      <c r="C17" t="str">
        <f>"Aff_Diretto - ODA 4727912"</f>
        <v>Aff_Diretto - ODA 4727912</v>
      </c>
      <c r="D17" t="str">
        <f>"23-AFFIDAMENTO DIRETTO"</f>
        <v>23-AFFIDAMENTO DIRETTO</v>
      </c>
      <c r="E17" t="str">
        <f>"KORA SISTEMI INFORMATICI SRL - 02048930206"</f>
        <v>KORA SISTEMI INFORMATICI SRL - 02048930206</v>
      </c>
      <c r="F17" t="str">
        <f>"9.455,00 EUR"</f>
        <v>9.455,00 EUR</v>
      </c>
      <c r="G17" t="str">
        <f>"01/01/2019 - 31/12/2019"</f>
        <v>01/01/2019 - 31/12/2019</v>
      </c>
      <c r="H17" t="str">
        <f>"9.454,50 EUR"</f>
        <v>9.454,50 EUR</v>
      </c>
    </row>
    <row r="18" spans="1:8" x14ac:dyDescent="0.25">
      <c r="A18" t="str">
        <f>"ZC926A62BC"</f>
        <v>ZC926A62BC</v>
      </c>
      <c r="B18" t="str">
        <f t="shared" si="0"/>
        <v>Napoli Servizi S.p.A. - 07577090637</v>
      </c>
      <c r="C18" t="str">
        <f>"P_Negoziata RDO-MePA 2181854"</f>
        <v>P_Negoziata RDO-MePA 2181854</v>
      </c>
      <c r="D18" t="str">
        <f>"04-PROCEDURA NEGOZIATA SENZA PREVIA PUBBLICAZIONE"</f>
        <v>04-PROCEDURA NEGOZIATA SENZA PREVIA PUBBLICAZIONE</v>
      </c>
      <c r="E18" t="str">
        <f>"KORA SISTEMI INFORMATICI SRL - 02048930206"</f>
        <v>KORA SISTEMI INFORMATICI SRL - 02048930206</v>
      </c>
      <c r="F18" t="str">
        <f>"789,00 EUR"</f>
        <v>789,00 EUR</v>
      </c>
      <c r="G18" t="str">
        <f>"01/01/2019 - 31/12/2019"</f>
        <v>01/01/2019 - 31/12/2019</v>
      </c>
      <c r="H18" t="str">
        <f>"789,00 EUR"</f>
        <v>789,00 EUR</v>
      </c>
    </row>
    <row r="19" spans="1:8" x14ac:dyDescent="0.25">
      <c r="A19" t="str">
        <f>"ZE2269A94D"</f>
        <v>ZE2269A94D</v>
      </c>
      <c r="B19" t="str">
        <f t="shared" si="0"/>
        <v>Napoli Servizi S.p.A. - 07577090637</v>
      </c>
      <c r="C19" t="str">
        <f>"Aff_diretto RDA 0013/2019"</f>
        <v>Aff_diretto RDA 0013/2019</v>
      </c>
      <c r="D19" t="str">
        <f>"23-AFFIDAMENTO DIRETTO"</f>
        <v>23-AFFIDAMENTO DIRETTO</v>
      </c>
      <c r="E19" t="str">
        <f>"LOMBARDI NICOLA - 07412320157"</f>
        <v>LOMBARDI NICOLA - 07412320157</v>
      </c>
      <c r="F19" t="str">
        <f>"2.094,00 EUR"</f>
        <v>2.094,00 EUR</v>
      </c>
      <c r="G19" t="str">
        <f>"01/01/2019 - 31/12/2019"</f>
        <v>01/01/2019 - 31/12/2019</v>
      </c>
      <c r="H19" t="str">
        <f>"2.093,60 EUR"</f>
        <v>2.093,60 EUR</v>
      </c>
    </row>
    <row r="20" spans="1:8" x14ac:dyDescent="0.25">
      <c r="A20" t="str">
        <f>"Z9B26942D3"</f>
        <v>Z9B26942D3</v>
      </c>
      <c r="B20" t="str">
        <f t="shared" si="0"/>
        <v>Napoli Servizi S.p.A. - 07577090637</v>
      </c>
      <c r="C20" t="str">
        <f>"Aff_Diretto ODA 4715280"</f>
        <v>Aff_Diretto ODA 4715280</v>
      </c>
      <c r="D20" t="str">
        <f>"23-AFFIDAMENTO DIRETTO"</f>
        <v>23-AFFIDAMENTO DIRETTO</v>
      </c>
      <c r="E20" t="str">
        <f>"INAZ SRL - 05026960962"</f>
        <v>INAZ SRL - 05026960962</v>
      </c>
      <c r="F20" t="str">
        <f>"1.840,00 EUR"</f>
        <v>1.840,00 EUR</v>
      </c>
      <c r="G20" t="str">
        <f>"01/01/2019 - 31/12/2019"</f>
        <v>01/01/2019 - 31/12/2019</v>
      </c>
      <c r="H20" t="str">
        <f>"1.840,00 EUR"</f>
        <v>1.840,00 EUR</v>
      </c>
    </row>
    <row r="21" spans="1:8" x14ac:dyDescent="0.25">
      <c r="A21" t="str">
        <f>"ZA926941B2"</f>
        <v>ZA926941B2</v>
      </c>
      <c r="B21" t="str">
        <f t="shared" si="0"/>
        <v>Napoli Servizi S.p.A. - 07577090637</v>
      </c>
      <c r="C21" t="str">
        <f>"Aff_Diretto ODA 4715253"</f>
        <v>Aff_Diretto ODA 4715253</v>
      </c>
      <c r="D21" t="str">
        <f>"23-AFFIDAMENTO DIRETTO"</f>
        <v>23-AFFIDAMENTO DIRETTO</v>
      </c>
      <c r="E21" t="str">
        <f>"IDC SPA - 06873000639"</f>
        <v>IDC SPA - 06873000639</v>
      </c>
      <c r="F21" t="str">
        <f>"2.423,00 EUR"</f>
        <v>2.423,00 EUR</v>
      </c>
      <c r="G21" t="str">
        <f>"01/01/2019 - 31/12/2019"</f>
        <v>01/01/2019 - 31/12/2019</v>
      </c>
      <c r="H21" t="str">
        <f>"2.423,00 EUR"</f>
        <v>2.423,00 EUR</v>
      </c>
    </row>
    <row r="22" spans="1:8" x14ac:dyDescent="0.25">
      <c r="A22" t="str">
        <f>"77856086F7"</f>
        <v>77856086F7</v>
      </c>
      <c r="B22" t="str">
        <f t="shared" si="0"/>
        <v>Napoli Servizi S.p.A. - 07577090637</v>
      </c>
      <c r="C22" t="str">
        <f>"CIG Derivato Conv_Consip 7"</f>
        <v>CIG Derivato Conv_Consip 7</v>
      </c>
      <c r="D22" t="str">
        <f>"26-AFFIDAMENTO DIRETTO IN ADESIONE AD ACCORDO QUADRO/CONVENZIONE"</f>
        <v>26-AFFIDAMENTO DIRETTO IN ADESIONE AD ACCORDO QUADRO/CONVENZIONE</v>
      </c>
      <c r="E22" t="str">
        <f>"TIM S.P.A. - 00488410010"</f>
        <v>TIM S.P.A. - 00488410010</v>
      </c>
      <c r="F22" t="str">
        <f>"40.000,00 EUR"</f>
        <v>40.000,00 EUR</v>
      </c>
      <c r="G22" t="str">
        <f>"01/01/2019 - 31/12/2021"</f>
        <v>01/01/2019 - 31/12/2021</v>
      </c>
      <c r="H22" t="str">
        <f>"14.893,58 EUR"</f>
        <v>14.893,58 EUR</v>
      </c>
    </row>
    <row r="23" spans="1:8" x14ac:dyDescent="0.25">
      <c r="A23" t="str">
        <f>"78991286A2"</f>
        <v>78991286A2</v>
      </c>
      <c r="B23" t="str">
        <f t="shared" si="0"/>
        <v>Napoli Servizi S.p.A. - 07577090637</v>
      </c>
      <c r="C23" t="str">
        <f>"Adesione Convenzione CONSIP - FC1"</f>
        <v>Adesione Convenzione CONSIP - FC1</v>
      </c>
      <c r="D23" t="str">
        <f>"26-AFFIDAMENTO DIRETTO IN ADESIONE AD ACCORDO QUADRO/CONVENZIONE"</f>
        <v>26-AFFIDAMENTO DIRETTO IN ADESIONE AD ACCORDO QUADRO/CONVENZIONE</v>
      </c>
      <c r="E23" t="str">
        <f>"Kuwait Petroleum Italia Spa - 00891951006"</f>
        <v>Kuwait Petroleum Italia Spa - 00891951006</v>
      </c>
      <c r="F23" t="str">
        <f>"540.000,00 EUR"</f>
        <v>540.000,00 EUR</v>
      </c>
      <c r="G23" t="str">
        <f>"01/01/2019 - 31/12/2021"</f>
        <v>01/01/2019 - 31/12/2021</v>
      </c>
      <c r="H23" t="str">
        <f>"61.327,99 EUR"</f>
        <v>61.327,99 EUR</v>
      </c>
    </row>
    <row r="24" spans="1:8" x14ac:dyDescent="0.25">
      <c r="A24" t="str">
        <f>"7913627397"</f>
        <v>7913627397</v>
      </c>
      <c r="B24" t="str">
        <f t="shared" si="0"/>
        <v>Napoli Servizi S.p.A. - 07577090637</v>
      </c>
      <c r="C24" t="str">
        <f>"Adesione Convenzione CONSIP - TF5"</f>
        <v>Adesione Convenzione CONSIP - TF5</v>
      </c>
      <c r="D24" t="str">
        <f>"26-AFFIDAMENTO DIRETTO IN ADESIONE AD ACCORDO QUADRO/CONVENZIONE"</f>
        <v>26-AFFIDAMENTO DIRETTO IN ADESIONE AD ACCORDO QUADRO/CONVENZIONE</v>
      </c>
      <c r="E24" t="str">
        <f>"FASTWEB SPA - 12878470157"</f>
        <v>FASTWEB SPA - 12878470157</v>
      </c>
      <c r="F24" t="str">
        <f>"87.000,00 EUR"</f>
        <v>87.000,00 EUR</v>
      </c>
      <c r="G24" t="str">
        <f>"01/01/2019 - 31/12/2022"</f>
        <v>01/01/2019 - 31/12/2022</v>
      </c>
      <c r="H24" t="str">
        <f>"9.387,15 EUR"</f>
        <v>9.387,15 EUR</v>
      </c>
    </row>
    <row r="25" spans="1:8" x14ac:dyDescent="0.25">
      <c r="A25" t="str">
        <f>"8029213C2A"</f>
        <v>8029213C2A</v>
      </c>
      <c r="B25" t="str">
        <f t="shared" si="0"/>
        <v>Napoli Servizi S.p.A. - 07577090637</v>
      </c>
      <c r="C25" t="str">
        <f>"Aff_Diretto ai sensi dell'art. 36 c.2 let. b)"</f>
        <v>Aff_Diretto ai sensi dell'art. 36 c.2 let. b)</v>
      </c>
      <c r="D25" t="str">
        <f>"23-AFFIDAMENTO DIRETTO"</f>
        <v>23-AFFIDAMENTO DIRETTO</v>
      </c>
      <c r="E25" t="str">
        <f>"EDILEM SRL - 02630111215"</f>
        <v>EDILEM SRL - 02630111215</v>
      </c>
      <c r="F25" t="str">
        <f>"100.000,00 EUR"</f>
        <v>100.000,00 EUR</v>
      </c>
      <c r="G25" t="str">
        <f>"01/01/2019 - 31/12/2019"</f>
        <v>01/01/2019 - 31/12/2019</v>
      </c>
      <c r="H25" t="str">
        <f>"0,00 EUR"</f>
        <v>0,00 EUR</v>
      </c>
    </row>
    <row r="26" spans="1:8" x14ac:dyDescent="0.25">
      <c r="A26" t="str">
        <f>"8029489FEC"</f>
        <v>8029489FEC</v>
      </c>
      <c r="B26" t="str">
        <f t="shared" si="0"/>
        <v>Napoli Servizi S.p.A. - 07577090637</v>
      </c>
      <c r="C26" t="str">
        <f>"Det_22 Aff_Diretto ai sensi dell'art 36 c.2 let. b)"</f>
        <v>Det_22 Aff_Diretto ai sensi dell'art 36 c.2 let. b)</v>
      </c>
      <c r="D26" t="str">
        <f>"23-AFFIDAMENTO DIRETTO"</f>
        <v>23-AFFIDAMENTO DIRETTO</v>
      </c>
      <c r="E26" t="str">
        <f>"MERIDIANA SERVIZI - 05167441004"</f>
        <v>MERIDIANA SERVIZI - 05167441004</v>
      </c>
      <c r="F26" t="str">
        <f>"100.000,00 EUR"</f>
        <v>100.000,00 EUR</v>
      </c>
      <c r="G26" t="str">
        <f>"01/01/2019 - 31/12/2019"</f>
        <v>01/01/2019 - 31/12/2019</v>
      </c>
      <c r="H26" t="str">
        <f>"0,00 EUR"</f>
        <v>0,00 EUR</v>
      </c>
    </row>
    <row r="27" spans="1:8" x14ac:dyDescent="0.25">
      <c r="A27" t="str">
        <f>"8098005D1E"</f>
        <v>8098005D1E</v>
      </c>
      <c r="B27" t="str">
        <f t="shared" si="0"/>
        <v>Napoli Servizi S.p.A. - 07577090637</v>
      </c>
      <c r="C27" t="str">
        <f>"Adesione COV_Consip BP8-L9 | SS Buoni PASTO"</f>
        <v>Adesione COV_Consip BP8-L9 | SS Buoni PASTO</v>
      </c>
      <c r="D27" t="str">
        <f>"26-AFFIDAMENTO DIRETTO IN ADESIONE AD ACCORDO QUADRO/CONVENZIONE"</f>
        <v>26-AFFIDAMENTO DIRETTO IN ADESIONE AD ACCORDO QUADRO/CONVENZIONE</v>
      </c>
      <c r="E27" t="str">
        <f>"REPAS LUNCH COUPON SRL - 01964741001"</f>
        <v>REPAS LUNCH COUPON SRL - 01964741001</v>
      </c>
      <c r="F27" t="str">
        <f>"2.890.000,00 EUR"</f>
        <v>2.890.000,00 EUR</v>
      </c>
      <c r="G27" t="str">
        <f>"01/08/2019 - 31/12/2020"</f>
        <v>01/08/2019 - 31/12/2020</v>
      </c>
      <c r="H27" t="str">
        <f>"0,00 EUR"</f>
        <v>0,00 EUR</v>
      </c>
    </row>
    <row r="28" spans="1:8" x14ac:dyDescent="0.25">
      <c r="A28" t="str">
        <f>"811637762E"</f>
        <v>811637762E</v>
      </c>
      <c r="B28" t="str">
        <f t="shared" si="0"/>
        <v>Napoli Servizi S.p.A. - 07577090637</v>
      </c>
      <c r="C28" t="str">
        <f>"RDO APERTA_2320687 Cancelleria 2020/2021"</f>
        <v>RDO APERTA_2320687 Cancelleria 2020/2021</v>
      </c>
      <c r="D28" t="str">
        <f>"03-PROCEDURA NEGOZIATA PREVIA PUBBLICAZIONE"</f>
        <v>03-PROCEDURA NEGOZIATA PREVIA PUBBLICAZIONE</v>
      </c>
      <c r="E28" t="str">
        <f>"MYO SPA - 03222970406"</f>
        <v>MYO SPA - 03222970406</v>
      </c>
      <c r="F28" t="str">
        <f>"50.000,00 EUR"</f>
        <v>50.000,00 EUR</v>
      </c>
      <c r="G28" t="str">
        <f>"01/09/2019 - 31/12/2021"</f>
        <v>01/09/2019 - 31/12/2021</v>
      </c>
      <c r="H28" t="str">
        <f>"4.102,38 EUR"</f>
        <v>4.102,38 EUR</v>
      </c>
    </row>
    <row r="29" spans="1:8" x14ac:dyDescent="0.25">
      <c r="A29" t="str">
        <f>"Z632A4F5FC"</f>
        <v>Z632A4F5FC</v>
      </c>
      <c r="B29" t="str">
        <f t="shared" si="0"/>
        <v>Napoli Servizi S.p.A. - 07577090637</v>
      </c>
      <c r="C29" t="str">
        <f>"Noleggio a Caldo Spazzatrice - Aff_diretto RDA-1902/2019"</f>
        <v>Noleggio a Caldo Spazzatrice - Aff_diretto RDA-1902/2019</v>
      </c>
      <c r="D29" t="str">
        <f t="shared" ref="D29:D50" si="2">"23-AFFIDAMENTO DIRETTO"</f>
        <v>23-AFFIDAMENTO DIRETTO</v>
      </c>
      <c r="E29" t="str">
        <f>"La Gardenia Srl - 05983520635"</f>
        <v>La Gardenia Srl - 05983520635</v>
      </c>
      <c r="F29" t="str">
        <f>"4.720,00 EUR"</f>
        <v>4.720,00 EUR</v>
      </c>
      <c r="G29" t="str">
        <f t="shared" ref="G29:G35" si="3">"01/01/2019 - 31/12/2019"</f>
        <v>01/01/2019 - 31/12/2019</v>
      </c>
      <c r="H29" t="str">
        <f t="shared" ref="H29:H35" si="4">"0,00 EUR"</f>
        <v>0,00 EUR</v>
      </c>
    </row>
    <row r="30" spans="1:8" x14ac:dyDescent="0.25">
      <c r="A30" t="str">
        <f>"ZA12A2F53E"</f>
        <v>ZA12A2F53E</v>
      </c>
      <c r="B30" t="str">
        <f t="shared" si="0"/>
        <v>Napoli Servizi S.p.A. - 07577090637</v>
      </c>
      <c r="C30" t="str">
        <f>"Aff_diretto anni 2019-2020"</f>
        <v>Aff_diretto anni 2019-2020</v>
      </c>
      <c r="D30" t="str">
        <f t="shared" si="2"/>
        <v>23-AFFIDAMENTO DIRETTO</v>
      </c>
      <c r="E30" t="str">
        <f>"LA PARTENOPE INFISSI - 07374411218"</f>
        <v>LA PARTENOPE INFISSI - 07374411218</v>
      </c>
      <c r="F30" t="str">
        <f>"2.312,00 EUR"</f>
        <v>2.312,00 EUR</v>
      </c>
      <c r="G30" t="str">
        <f t="shared" si="3"/>
        <v>01/01/2019 - 31/12/2019</v>
      </c>
      <c r="H30" t="str">
        <f t="shared" si="4"/>
        <v>0,00 EUR</v>
      </c>
    </row>
    <row r="31" spans="1:8" x14ac:dyDescent="0.25">
      <c r="A31" t="str">
        <f>"Z1D2A10DAB"</f>
        <v>Z1D2A10DAB</v>
      </c>
      <c r="B31" t="str">
        <f t="shared" si="0"/>
        <v>Napoli Servizi S.p.A. - 07577090637</v>
      </c>
      <c r="C31" t="str">
        <f>"Aff_diretto RDA-1060/2019"</f>
        <v>Aff_diretto RDA-1060/2019</v>
      </c>
      <c r="D31" t="str">
        <f t="shared" si="2"/>
        <v>23-AFFIDAMENTO DIRETTO</v>
      </c>
      <c r="E31" t="str">
        <f>"L'ESTINTORE SRLS - 08679291214"</f>
        <v>L'ESTINTORE SRLS - 08679291214</v>
      </c>
      <c r="F31" t="str">
        <f>"10.000,00 EUR"</f>
        <v>10.000,00 EUR</v>
      </c>
      <c r="G31" t="str">
        <f t="shared" si="3"/>
        <v>01/01/2019 - 31/12/2019</v>
      </c>
      <c r="H31" t="str">
        <f t="shared" si="4"/>
        <v>0,00 EUR</v>
      </c>
    </row>
    <row r="32" spans="1:8" x14ac:dyDescent="0.25">
      <c r="A32" t="str">
        <f>"Z362A10D8B"</f>
        <v>Z362A10D8B</v>
      </c>
      <c r="B32" t="str">
        <f t="shared" si="0"/>
        <v>Napoli Servizi S.p.A. - 07577090637</v>
      </c>
      <c r="C32" t="str">
        <f>"Aff_diretto RDA-1708/2019"</f>
        <v>Aff_diretto RDA-1708/2019</v>
      </c>
      <c r="D32" t="str">
        <f t="shared" si="2"/>
        <v>23-AFFIDAMENTO DIRETTO</v>
      </c>
      <c r="E32" t="str">
        <f>"TECNOSERVICE SAS - 05637041210"</f>
        <v>TECNOSERVICE SAS - 05637041210</v>
      </c>
      <c r="F32" t="str">
        <f>"8.500,00 EUR"</f>
        <v>8.500,00 EUR</v>
      </c>
      <c r="G32" t="str">
        <f t="shared" si="3"/>
        <v>01/01/2019 - 31/12/2019</v>
      </c>
      <c r="H32" t="str">
        <f t="shared" si="4"/>
        <v>0,00 EUR</v>
      </c>
    </row>
    <row r="33" spans="1:8" x14ac:dyDescent="0.25">
      <c r="A33" t="str">
        <f>"ZDA29E9634"</f>
        <v>ZDA29E9634</v>
      </c>
      <c r="B33" t="str">
        <f t="shared" si="0"/>
        <v>Napoli Servizi S.p.A. - 07577090637</v>
      </c>
      <c r="C33" t="str">
        <f>"Cancelleria - Aff_diretto RDA-1696/2019"</f>
        <v>Cancelleria - Aff_diretto RDA-1696/2019</v>
      </c>
      <c r="D33" t="str">
        <f t="shared" si="2"/>
        <v>23-AFFIDAMENTO DIRETTO</v>
      </c>
      <c r="E33" t="str">
        <f>"TIPOG TRIS - 03699121210"</f>
        <v>TIPOG TRIS - 03699121210</v>
      </c>
      <c r="F33" t="str">
        <f>"67,00 EUR"</f>
        <v>67,00 EUR</v>
      </c>
      <c r="G33" t="str">
        <f t="shared" si="3"/>
        <v>01/01/2019 - 31/12/2019</v>
      </c>
      <c r="H33" t="str">
        <f t="shared" si="4"/>
        <v>0,00 EUR</v>
      </c>
    </row>
    <row r="34" spans="1:8" x14ac:dyDescent="0.25">
      <c r="A34" t="str">
        <f>"Z9929E6C2C"</f>
        <v>Z9929E6C2C</v>
      </c>
      <c r="B34" t="str">
        <f t="shared" si="0"/>
        <v>Napoli Servizi S.p.A. - 07577090637</v>
      </c>
      <c r="C34" t="str">
        <f>"Aff_Diretto RDA 1680-2019"</f>
        <v>Aff_Diretto RDA 1680-2019</v>
      </c>
      <c r="D34" t="str">
        <f t="shared" si="2"/>
        <v>23-AFFIDAMENTO DIRETTO</v>
      </c>
      <c r="E34" t="str">
        <f>"ECCOFACTO SRLS - 12755991002"</f>
        <v>ECCOFACTO SRLS - 12755991002</v>
      </c>
      <c r="F34" t="str">
        <f>"1.624,00 EUR"</f>
        <v>1.624,00 EUR</v>
      </c>
      <c r="G34" t="str">
        <f t="shared" si="3"/>
        <v>01/01/2019 - 31/12/2019</v>
      </c>
      <c r="H34" t="str">
        <f t="shared" si="4"/>
        <v>0,00 EUR</v>
      </c>
    </row>
    <row r="35" spans="1:8" x14ac:dyDescent="0.25">
      <c r="A35" t="str">
        <f>"Z8229E69E5"</f>
        <v>Z8229E69E5</v>
      </c>
      <c r="B35" t="str">
        <f t="shared" si="0"/>
        <v>Napoli Servizi S.p.A. - 07577090637</v>
      </c>
      <c r="C35" t="str">
        <f>"ACQUISTO MATERIALE INFORMATICO - ODA 5111989 - RDA 1598/1652"</f>
        <v>ACQUISTO MATERIALE INFORMATICO - ODA 5111989 - RDA 1598/1652</v>
      </c>
      <c r="D35" t="str">
        <f t="shared" si="2"/>
        <v>23-AFFIDAMENTO DIRETTO</v>
      </c>
      <c r="E35" t="str">
        <f>"DPS INFORMATICA S.N.C. - 01486330309"</f>
        <v>DPS INFORMATICA S.N.C. - 01486330309</v>
      </c>
      <c r="F35" t="str">
        <f>"5.400,00 EUR"</f>
        <v>5.400,00 EUR</v>
      </c>
      <c r="G35" t="str">
        <f t="shared" si="3"/>
        <v>01/01/2019 - 31/12/2019</v>
      </c>
      <c r="H35" t="str">
        <f t="shared" si="4"/>
        <v>0,00 EUR</v>
      </c>
    </row>
    <row r="36" spans="1:8" x14ac:dyDescent="0.25">
      <c r="A36" t="str">
        <f>"ZC729DF726"</f>
        <v>ZC729DF726</v>
      </c>
      <c r="B36" t="str">
        <f t="shared" si="0"/>
        <v>Napoli Servizi S.p.A. - 07577090637</v>
      </c>
      <c r="C36" t="str">
        <f>"Aff_Diretto Sole24Ore"</f>
        <v>Aff_Diretto Sole24Ore</v>
      </c>
      <c r="D36" t="str">
        <f t="shared" si="2"/>
        <v>23-AFFIDAMENTO DIRETTO</v>
      </c>
      <c r="E36" t="str">
        <f>"GRUPPO 24ORE - 00777910159"</f>
        <v>GRUPPO 24ORE - 00777910159</v>
      </c>
      <c r="F36" t="str">
        <f>"1.814,00 EUR"</f>
        <v>1.814,00 EUR</v>
      </c>
      <c r="G36" t="str">
        <f>"01/01/2019 - 31/12/2020"</f>
        <v>01/01/2019 - 31/12/2020</v>
      </c>
      <c r="H36" t="str">
        <f>"1.046,52 EUR"</f>
        <v>1.046,52 EUR</v>
      </c>
    </row>
    <row r="37" spans="1:8" x14ac:dyDescent="0.25">
      <c r="A37" t="str">
        <f>"Z6829DA5A8"</f>
        <v>Z6829DA5A8</v>
      </c>
      <c r="B37" t="str">
        <f t="shared" si="0"/>
        <v>Napoli Servizi S.p.A. - 07577090637</v>
      </c>
      <c r="C37" t="str">
        <f>"Aff_diretto RDA-1618/2019"</f>
        <v>Aff_diretto RDA-1618/2019</v>
      </c>
      <c r="D37" t="str">
        <f t="shared" si="2"/>
        <v>23-AFFIDAMENTO DIRETTO</v>
      </c>
      <c r="E37" t="str">
        <f>"L'UFFICIO MODERNO DELLA CAMPANIA - 04167160631"</f>
        <v>L'UFFICIO MODERNO DELLA CAMPANIA - 04167160631</v>
      </c>
      <c r="F37" t="str">
        <f>"250,00 EUR"</f>
        <v>250,00 EUR</v>
      </c>
      <c r="G37" t="str">
        <f t="shared" ref="G37:G68" si="5">"01/01/2019 - 31/12/2019"</f>
        <v>01/01/2019 - 31/12/2019</v>
      </c>
      <c r="H37" t="str">
        <f t="shared" ref="H37:H44" si="6">"0,00 EUR"</f>
        <v>0,00 EUR</v>
      </c>
    </row>
    <row r="38" spans="1:8" x14ac:dyDescent="0.25">
      <c r="A38" t="str">
        <f>"Z9F2972EBE"</f>
        <v>Z9F2972EBE</v>
      </c>
      <c r="B38" t="str">
        <f t="shared" si="0"/>
        <v>Napoli Servizi S.p.A. - 07577090637</v>
      </c>
      <c r="C38" t="str">
        <f>"Aff_diretto RDA-1483"</f>
        <v>Aff_diretto RDA-1483</v>
      </c>
      <c r="D38" t="str">
        <f t="shared" si="2"/>
        <v>23-AFFIDAMENTO DIRETTO</v>
      </c>
      <c r="E38" t="str">
        <f>"TEAMSYSTEM S.P.A. - 01035310414"</f>
        <v>TEAMSYSTEM S.P.A. - 01035310414</v>
      </c>
      <c r="F38" t="str">
        <f>"255,00 EUR"</f>
        <v>255,00 EUR</v>
      </c>
      <c r="G38" t="str">
        <f t="shared" si="5"/>
        <v>01/01/2019 - 31/12/2019</v>
      </c>
      <c r="H38" t="str">
        <f t="shared" si="6"/>
        <v>0,00 EUR</v>
      </c>
    </row>
    <row r="39" spans="1:8" x14ac:dyDescent="0.25">
      <c r="A39" t="str">
        <f>"Z0E29699D9"</f>
        <v>Z0E29699D9</v>
      </c>
      <c r="B39" t="str">
        <f t="shared" si="0"/>
        <v>Napoli Servizi S.p.A. - 07577090637</v>
      </c>
      <c r="C39" t="str">
        <f>"Aff_diretto RDA-1426/2019"</f>
        <v>Aff_diretto RDA-1426/2019</v>
      </c>
      <c r="D39" t="str">
        <f t="shared" si="2"/>
        <v>23-AFFIDAMENTO DIRETTO</v>
      </c>
      <c r="E39" t="str">
        <f>"IDC SPA - 06873000639"</f>
        <v>IDC SPA - 06873000639</v>
      </c>
      <c r="F39" t="str">
        <f>"530,00 EUR"</f>
        <v>530,00 EUR</v>
      </c>
      <c r="G39" t="str">
        <f t="shared" si="5"/>
        <v>01/01/2019 - 31/12/2019</v>
      </c>
      <c r="H39" t="str">
        <f t="shared" si="6"/>
        <v>0,00 EUR</v>
      </c>
    </row>
    <row r="40" spans="1:8" x14ac:dyDescent="0.25">
      <c r="A40" t="str">
        <f>"Z7E29699A4"</f>
        <v>Z7E29699A4</v>
      </c>
      <c r="B40" t="str">
        <f t="shared" si="0"/>
        <v>Napoli Servizi S.p.A. - 07577090637</v>
      </c>
      <c r="C40" t="str">
        <f>"Aff_diretto RDA-1446/2019"</f>
        <v>Aff_diretto RDA-1446/2019</v>
      </c>
      <c r="D40" t="str">
        <f t="shared" si="2"/>
        <v>23-AFFIDAMENTO DIRETTO</v>
      </c>
      <c r="E40" t="str">
        <f>"ASSIST.COM SRL - 04365960659"</f>
        <v>ASSIST.COM SRL - 04365960659</v>
      </c>
      <c r="F40" t="str">
        <f>"90,00 EUR"</f>
        <v>90,00 EUR</v>
      </c>
      <c r="G40" t="str">
        <f t="shared" si="5"/>
        <v>01/01/2019 - 31/12/2019</v>
      </c>
      <c r="H40" t="str">
        <f t="shared" si="6"/>
        <v>0,00 EUR</v>
      </c>
    </row>
    <row r="41" spans="1:8" x14ac:dyDescent="0.25">
      <c r="A41" t="str">
        <f>"ZF5296995C"</f>
        <v>ZF5296995C</v>
      </c>
      <c r="B41" t="str">
        <f t="shared" si="0"/>
        <v>Napoli Servizi S.p.A. - 07577090637</v>
      </c>
      <c r="C41" t="str">
        <f>"SW - Portale GARE - Aff_diretto RDA-1393/2019"</f>
        <v>SW - Portale GARE - Aff_diretto RDA-1393/2019</v>
      </c>
      <c r="D41" t="str">
        <f t="shared" si="2"/>
        <v>23-AFFIDAMENTO DIRETTO</v>
      </c>
      <c r="E41" t="str">
        <f>"DIGITALPA SRL - 03553050927"</f>
        <v>DIGITALPA SRL - 03553050927</v>
      </c>
      <c r="F41" t="str">
        <f>"7.800,00 EUR"</f>
        <v>7.800,00 EUR</v>
      </c>
      <c r="G41" t="str">
        <f t="shared" si="5"/>
        <v>01/01/2019 - 31/12/2019</v>
      </c>
      <c r="H41" t="str">
        <f t="shared" si="6"/>
        <v>0,00 EUR</v>
      </c>
    </row>
    <row r="42" spans="1:8" x14ac:dyDescent="0.25">
      <c r="A42" t="str">
        <f>"Z122966114"</f>
        <v>Z122966114</v>
      </c>
      <c r="B42" t="str">
        <f t="shared" si="0"/>
        <v>Napoli Servizi S.p.A. - 07577090637</v>
      </c>
      <c r="C42" t="str">
        <f>"Aff_diretto RDA-1440/2019"</f>
        <v>Aff_diretto RDA-1440/2019</v>
      </c>
      <c r="D42" t="str">
        <f t="shared" si="2"/>
        <v>23-AFFIDAMENTO DIRETTO</v>
      </c>
      <c r="E42" t="str">
        <f>"SETEC SRL - 04385960614"</f>
        <v>SETEC SRL - 04385960614</v>
      </c>
      <c r="F42" t="str">
        <f>"1.200,00 EUR"</f>
        <v>1.200,00 EUR</v>
      </c>
      <c r="G42" t="str">
        <f t="shared" si="5"/>
        <v>01/01/2019 - 31/12/2019</v>
      </c>
      <c r="H42" t="str">
        <f t="shared" si="6"/>
        <v>0,00 EUR</v>
      </c>
    </row>
    <row r="43" spans="1:8" x14ac:dyDescent="0.25">
      <c r="A43" t="str">
        <f>"Z5E294F538"</f>
        <v>Z5E294F538</v>
      </c>
      <c r="B43" t="str">
        <f t="shared" si="0"/>
        <v>Napoli Servizi S.p.A. - 07577090637</v>
      </c>
      <c r="C43" t="str">
        <f>"Aff_diretto RDA-1165/2019"</f>
        <v>Aff_diretto RDA-1165/2019</v>
      </c>
      <c r="D43" t="str">
        <f t="shared" si="2"/>
        <v>23-AFFIDAMENTO DIRETTO</v>
      </c>
      <c r="E43" t="str">
        <f>"TECNOSERVICE SAS - 05637041210"</f>
        <v>TECNOSERVICE SAS - 05637041210</v>
      </c>
      <c r="F43" t="str">
        <f>"1.500,00 EUR"</f>
        <v>1.500,00 EUR</v>
      </c>
      <c r="G43" t="str">
        <f t="shared" si="5"/>
        <v>01/01/2019 - 31/12/2019</v>
      </c>
      <c r="H43" t="str">
        <f t="shared" si="6"/>
        <v>0,00 EUR</v>
      </c>
    </row>
    <row r="44" spans="1:8" x14ac:dyDescent="0.25">
      <c r="A44" t="str">
        <f>"Z6B294F4CD"</f>
        <v>Z6B294F4CD</v>
      </c>
      <c r="B44" t="str">
        <f t="shared" si="0"/>
        <v>Napoli Servizi S.p.A. - 07577090637</v>
      </c>
      <c r="C44" t="str">
        <f>"Aff_diretto RDA-1316/2019"</f>
        <v>Aff_diretto RDA-1316/2019</v>
      </c>
      <c r="D44" t="str">
        <f t="shared" si="2"/>
        <v>23-AFFIDAMENTO DIRETTO</v>
      </c>
      <c r="E44" t="str">
        <f>"CONSORZIO DEL BO SCARL - 04474391218"</f>
        <v>CONSORZIO DEL BO SCARL - 04474391218</v>
      </c>
      <c r="F44" t="str">
        <f>"2.160,00 EUR"</f>
        <v>2.160,00 EUR</v>
      </c>
      <c r="G44" t="str">
        <f t="shared" si="5"/>
        <v>01/01/2019 - 31/12/2019</v>
      </c>
      <c r="H44" t="str">
        <f t="shared" si="6"/>
        <v>0,00 EUR</v>
      </c>
    </row>
    <row r="45" spans="1:8" x14ac:dyDescent="0.25">
      <c r="A45" t="str">
        <f>"ZC82933352"</f>
        <v>ZC82933352</v>
      </c>
      <c r="B45" t="str">
        <f t="shared" si="0"/>
        <v>Napoli Servizi S.p.A. - 07577090637</v>
      </c>
      <c r="C45" t="str">
        <f>"Aff_Diretto RDA-1385/2019"</f>
        <v>Aff_Diretto RDA-1385/2019</v>
      </c>
      <c r="D45" t="str">
        <f t="shared" si="2"/>
        <v>23-AFFIDAMENTO DIRETTO</v>
      </c>
      <c r="E45" t="str">
        <f>"GRUPPO PARZIALE ANTONIO E F. - 07660480638"</f>
        <v>GRUPPO PARZIALE ANTONIO E F. - 07660480638</v>
      </c>
      <c r="F45" t="str">
        <f>"257,00 EUR"</f>
        <v>257,00 EUR</v>
      </c>
      <c r="G45" t="str">
        <f t="shared" si="5"/>
        <v>01/01/2019 - 31/12/2019</v>
      </c>
      <c r="H45" t="str">
        <f>"257,37 EUR"</f>
        <v>257,37 EUR</v>
      </c>
    </row>
    <row r="46" spans="1:8" x14ac:dyDescent="0.25">
      <c r="A46" t="str">
        <f>"Z9029332EF"</f>
        <v>Z9029332EF</v>
      </c>
      <c r="B46" t="str">
        <f t="shared" si="0"/>
        <v>Napoli Servizi S.p.A. - 07577090637</v>
      </c>
      <c r="C46" t="str">
        <f>"Aff_Diretto RDA-1404/2019"</f>
        <v>Aff_Diretto RDA-1404/2019</v>
      </c>
      <c r="D46" t="str">
        <f t="shared" si="2"/>
        <v>23-AFFIDAMENTO DIRETTO</v>
      </c>
      <c r="E46" t="str">
        <f>"TEAMSYSTEM S.P.A. - 01035310414"</f>
        <v>TEAMSYSTEM S.P.A. - 01035310414</v>
      </c>
      <c r="F46" t="str">
        <f>"8.778,00 EUR"</f>
        <v>8.778,00 EUR</v>
      </c>
      <c r="G46" t="str">
        <f t="shared" si="5"/>
        <v>01/01/2019 - 31/12/2019</v>
      </c>
      <c r="H46" t="str">
        <f>"0,00 EUR"</f>
        <v>0,00 EUR</v>
      </c>
    </row>
    <row r="47" spans="1:8" x14ac:dyDescent="0.25">
      <c r="A47" t="str">
        <f>"Z6E2933298"</f>
        <v>Z6E2933298</v>
      </c>
      <c r="B47" t="str">
        <f t="shared" si="0"/>
        <v>Napoli Servizi S.p.A. - 07577090637</v>
      </c>
      <c r="C47" t="str">
        <f>"Acquisto Asfalto a FREDDO - Aff_Diretto RDA-1209/2019"</f>
        <v>Acquisto Asfalto a FREDDO - Aff_Diretto RDA-1209/2019</v>
      </c>
      <c r="D47" t="str">
        <f t="shared" si="2"/>
        <v>23-AFFIDAMENTO DIRETTO</v>
      </c>
      <c r="E47" t="str">
        <f>"SABBIE DI PARMA SRL - 02235870348"</f>
        <v>SABBIE DI PARMA SRL - 02235870348</v>
      </c>
      <c r="F47" t="str">
        <f>"780,00 EUR"</f>
        <v>780,00 EUR</v>
      </c>
      <c r="G47" t="str">
        <f t="shared" si="5"/>
        <v>01/01/2019 - 31/12/2019</v>
      </c>
      <c r="H47" t="str">
        <f>"780,00 EUR"</f>
        <v>780,00 EUR</v>
      </c>
    </row>
    <row r="48" spans="1:8" x14ac:dyDescent="0.25">
      <c r="A48" t="str">
        <f>"Z17291271B"</f>
        <v>Z17291271B</v>
      </c>
      <c r="B48" t="str">
        <f t="shared" si="0"/>
        <v>Napoli Servizi S.p.A. - 07577090637</v>
      </c>
      <c r="C48" t="str">
        <f>"Aff_diretto RDA-1228/2019"</f>
        <v>Aff_diretto RDA-1228/2019</v>
      </c>
      <c r="D48" t="str">
        <f t="shared" si="2"/>
        <v>23-AFFIDAMENTO DIRETTO</v>
      </c>
      <c r="E48" t="str">
        <f>"RDP TELECOMUNICAZIONI S.R.L. - 07542790634"</f>
        <v>RDP TELECOMUNICAZIONI S.R.L. - 07542790634</v>
      </c>
      <c r="F48" t="str">
        <f>"2.800,00 EUR"</f>
        <v>2.800,00 EUR</v>
      </c>
      <c r="G48" t="str">
        <f t="shared" si="5"/>
        <v>01/01/2019 - 31/12/2019</v>
      </c>
      <c r="H48" t="str">
        <f>"0,00 EUR"</f>
        <v>0,00 EUR</v>
      </c>
    </row>
    <row r="49" spans="1:8" x14ac:dyDescent="0.25">
      <c r="A49" t="str">
        <f>"Z58290AD66"</f>
        <v>Z58290AD66</v>
      </c>
      <c r="B49" t="str">
        <f t="shared" si="0"/>
        <v>Napoli Servizi S.p.A. - 07577090637</v>
      </c>
      <c r="C49" t="str">
        <f>"Servizio Interrogazioni CC - Aff_diretto RDA-1134/2019"</f>
        <v>Servizio Interrogazioni CC - Aff_diretto RDA-1134/2019</v>
      </c>
      <c r="D49" t="str">
        <f t="shared" si="2"/>
        <v>23-AFFIDAMENTO DIRETTO</v>
      </c>
      <c r="E49" t="str">
        <f>"INFOCAMERE SOCIETA' CONSORTILE - 02313821007"</f>
        <v>INFOCAMERE SOCIETA' CONSORTILE - 02313821007</v>
      </c>
      <c r="F49" t="str">
        <f>"1.110,00 EUR"</f>
        <v>1.110,00 EUR</v>
      </c>
      <c r="G49" t="str">
        <f t="shared" si="5"/>
        <v>01/01/2019 - 31/12/2019</v>
      </c>
      <c r="H49" t="str">
        <f>"0,00 EUR"</f>
        <v>0,00 EUR</v>
      </c>
    </row>
    <row r="50" spans="1:8" x14ac:dyDescent="0.25">
      <c r="A50" t="str">
        <f>"ZDF2902F07"</f>
        <v>ZDF2902F07</v>
      </c>
      <c r="B50" t="str">
        <f t="shared" si="0"/>
        <v>Napoli Servizi S.p.A. - 07577090637</v>
      </c>
      <c r="C50" t="str">
        <f>"Aff_diretto RDA-1154/2019"</f>
        <v>Aff_diretto RDA-1154/2019</v>
      </c>
      <c r="D50" t="str">
        <f t="shared" si="2"/>
        <v>23-AFFIDAMENTO DIRETTO</v>
      </c>
      <c r="E50" t="str">
        <f>"SOL GRU MARTELLI &amp; C. - 01428361214"</f>
        <v>SOL GRU MARTELLI &amp; C. - 01428361214</v>
      </c>
      <c r="F50" t="str">
        <f>"1.900,00 EUR"</f>
        <v>1.900,00 EUR</v>
      </c>
      <c r="G50" t="str">
        <f t="shared" si="5"/>
        <v>01/01/2019 - 31/12/2019</v>
      </c>
      <c r="H50" t="str">
        <f>"0,00 EUR"</f>
        <v>0,00 EUR</v>
      </c>
    </row>
    <row r="51" spans="1:8" x14ac:dyDescent="0.25">
      <c r="A51" t="str">
        <f>"Z6228DE45A"</f>
        <v>Z6228DE45A</v>
      </c>
      <c r="B51" t="str">
        <f t="shared" si="0"/>
        <v>Napoli Servizi S.p.A. - 07577090637</v>
      </c>
      <c r="C51" t="str">
        <f>"Acquisto Materiali ICT - RDO APERTA MePA 2309951 - RDA 1140/2019"</f>
        <v>Acquisto Materiali ICT - RDO APERTA MePA 2309951 - RDA 1140/2019</v>
      </c>
      <c r="D51" t="str">
        <f>"04-PROCEDURA NEGOZIATA SENZA PREVIA PUBBLICAZIONE"</f>
        <v>04-PROCEDURA NEGOZIATA SENZA PREVIA PUBBLICAZIONE</v>
      </c>
      <c r="E51" t="str">
        <f>"KORA SISTEMI INFORMATICI SRL - 02048930206"</f>
        <v>KORA SISTEMI INFORMATICI SRL - 02048930206</v>
      </c>
      <c r="F51" t="str">
        <f>"1.168,00 EUR"</f>
        <v>1.168,00 EUR</v>
      </c>
      <c r="G51" t="str">
        <f t="shared" si="5"/>
        <v>01/01/2019 - 31/12/2019</v>
      </c>
      <c r="H51" t="str">
        <f>"0,00 EUR"</f>
        <v>0,00 EUR</v>
      </c>
    </row>
    <row r="52" spans="1:8" x14ac:dyDescent="0.25">
      <c r="A52" t="str">
        <f>"Z0728D787C"</f>
        <v>Z0728D787C</v>
      </c>
      <c r="B52" t="str">
        <f t="shared" si="0"/>
        <v>Napoli Servizi S.p.A. - 07577090637</v>
      </c>
      <c r="C52" t="str">
        <f>"Stipula TD 940740 - 940734"</f>
        <v>Stipula TD 940740 - 940734</v>
      </c>
      <c r="D52" t="str">
        <f t="shared" ref="D52:D61" si="7">"23-AFFIDAMENTO DIRETTO"</f>
        <v>23-AFFIDAMENTO DIRETTO</v>
      </c>
      <c r="E52" t="str">
        <f>"TEAMSYSTEM S.P.A. - 01035310414"</f>
        <v>TEAMSYSTEM S.P.A. - 01035310414</v>
      </c>
      <c r="F52" t="str">
        <f>"25.777,00 EUR"</f>
        <v>25.777,00 EUR</v>
      </c>
      <c r="G52" t="str">
        <f t="shared" si="5"/>
        <v>01/01/2019 - 31/12/2019</v>
      </c>
      <c r="H52" t="str">
        <f>"8.969,25 EUR"</f>
        <v>8.969,25 EUR</v>
      </c>
    </row>
    <row r="53" spans="1:8" x14ac:dyDescent="0.25">
      <c r="A53" t="str">
        <f>"ZB728D76E6"</f>
        <v>ZB728D76E6</v>
      </c>
      <c r="B53" t="str">
        <f t="shared" si="0"/>
        <v>Napoli Servizi S.p.A. - 07577090637</v>
      </c>
      <c r="C53" t="str">
        <f>"ODA 4996186 - Aff_Diretto ORD 866"</f>
        <v>ODA 4996186 - Aff_Diretto ORD 866</v>
      </c>
      <c r="D53" t="str">
        <f t="shared" si="7"/>
        <v>23-AFFIDAMENTO DIRETTO</v>
      </c>
      <c r="E53" t="str">
        <f>"REGISTER SPA - 04628270482"</f>
        <v>REGISTER SPA - 04628270482</v>
      </c>
      <c r="F53" t="str">
        <f>"197,00 EUR"</f>
        <v>197,00 EUR</v>
      </c>
      <c r="G53" t="str">
        <f t="shared" si="5"/>
        <v>01/01/2019 - 31/12/2019</v>
      </c>
      <c r="H53" t="str">
        <f>"0,00 EUR"</f>
        <v>0,00 EUR</v>
      </c>
    </row>
    <row r="54" spans="1:8" x14ac:dyDescent="0.25">
      <c r="A54" t="str">
        <f>"Z9B28CBBED"</f>
        <v>Z9B28CBBED</v>
      </c>
      <c r="B54" t="str">
        <f t="shared" si="0"/>
        <v>Napoli Servizi S.p.A. - 07577090637</v>
      </c>
      <c r="C54" t="str">
        <f>"Aff_diretto RDA-1132/2019"</f>
        <v>Aff_diretto RDA-1132/2019</v>
      </c>
      <c r="D54" t="str">
        <f t="shared" si="7"/>
        <v>23-AFFIDAMENTO DIRETTO</v>
      </c>
      <c r="E54" t="str">
        <f>"LOMBARDI NICOLA - 07412320157"</f>
        <v>LOMBARDI NICOLA - 07412320157</v>
      </c>
      <c r="F54" t="str">
        <f>"1.679,00 EUR"</f>
        <v>1.679,00 EUR</v>
      </c>
      <c r="G54" t="str">
        <f t="shared" si="5"/>
        <v>01/01/2019 - 31/12/2019</v>
      </c>
      <c r="H54" t="str">
        <f>"1.678,90 EUR"</f>
        <v>1.678,90 EUR</v>
      </c>
    </row>
    <row r="55" spans="1:8" x14ac:dyDescent="0.25">
      <c r="A55" t="str">
        <f>"Z6828BBA0B"</f>
        <v>Z6828BBA0B</v>
      </c>
      <c r="B55" t="str">
        <f t="shared" si="0"/>
        <v>Napoli Servizi S.p.A. - 07577090637</v>
      </c>
      <c r="C55" t="str">
        <f>"Aff_diretto RDA-1028/2019"</f>
        <v>Aff_diretto RDA-1028/2019</v>
      </c>
      <c r="D55" t="str">
        <f t="shared" si="7"/>
        <v>23-AFFIDAMENTO DIRETTO</v>
      </c>
      <c r="E55" t="str">
        <f>"STUDIO 81 DATA SISTEMS SRL - 02159791009"</f>
        <v>STUDIO 81 DATA SISTEMS SRL - 02159791009</v>
      </c>
      <c r="F55" t="str">
        <f>"18.135,00 EUR"</f>
        <v>18.135,00 EUR</v>
      </c>
      <c r="G55" t="str">
        <f t="shared" si="5"/>
        <v>01/01/2019 - 31/12/2019</v>
      </c>
      <c r="H55" t="str">
        <f>"2.957,50 EUR"</f>
        <v>2.957,50 EUR</v>
      </c>
    </row>
    <row r="56" spans="1:8" x14ac:dyDescent="0.25">
      <c r="A56" t="str">
        <f>"ZD828BB9D6"</f>
        <v>ZD828BB9D6</v>
      </c>
      <c r="B56" t="str">
        <f t="shared" si="0"/>
        <v>Napoli Servizi S.p.A. - 07577090637</v>
      </c>
      <c r="C56" t="str">
        <f>"Aff_diretto RDA-1062/2019"</f>
        <v>Aff_diretto RDA-1062/2019</v>
      </c>
      <c r="D56" t="str">
        <f t="shared" si="7"/>
        <v>23-AFFIDAMENTO DIRETTO</v>
      </c>
      <c r="E56" t="str">
        <f>"S &amp; S SISTEMI E SOLUZIONI SRL - 02631130735"</f>
        <v>S &amp; S SISTEMI E SOLUZIONI SRL - 02631130735</v>
      </c>
      <c r="F56" t="str">
        <f>"18.000,00 EUR"</f>
        <v>18.000,00 EUR</v>
      </c>
      <c r="G56" t="str">
        <f t="shared" si="5"/>
        <v>01/01/2019 - 31/12/2019</v>
      </c>
      <c r="H56" t="str">
        <f>"5.000,00 EUR"</f>
        <v>5.000,00 EUR</v>
      </c>
    </row>
    <row r="57" spans="1:8" x14ac:dyDescent="0.25">
      <c r="A57" t="str">
        <f>"Z3428BA239"</f>
        <v>Z3428BA239</v>
      </c>
      <c r="B57" t="str">
        <f t="shared" si="0"/>
        <v>Napoli Servizi S.p.A. - 07577090637</v>
      </c>
      <c r="C57" t="str">
        <f>"Aff_diretto RDA-1022/2019"</f>
        <v>Aff_diretto RDA-1022/2019</v>
      </c>
      <c r="D57" t="str">
        <f t="shared" si="7"/>
        <v>23-AFFIDAMENTO DIRETTO</v>
      </c>
      <c r="E57" t="str">
        <f>"POWER2CLOUD - 09669790967"</f>
        <v>POWER2CLOUD - 09669790967</v>
      </c>
      <c r="F57" t="str">
        <f>"811,00 EUR"</f>
        <v>811,00 EUR</v>
      </c>
      <c r="G57" t="str">
        <f t="shared" si="5"/>
        <v>01/01/2019 - 31/12/2019</v>
      </c>
      <c r="H57" t="str">
        <f>"811,20 EUR"</f>
        <v>811,20 EUR</v>
      </c>
    </row>
    <row r="58" spans="1:8" x14ac:dyDescent="0.25">
      <c r="A58" t="str">
        <f>"Z2028B38D3"</f>
        <v>Z2028B38D3</v>
      </c>
      <c r="B58" t="str">
        <f t="shared" si="0"/>
        <v>Napoli Servizi S.p.A. - 07577090637</v>
      </c>
      <c r="C58" t="str">
        <f>"AFF_Diretto TD 931626"</f>
        <v>AFF_Diretto TD 931626</v>
      </c>
      <c r="D58" t="str">
        <f t="shared" si="7"/>
        <v>23-AFFIDAMENTO DIRETTO</v>
      </c>
      <c r="E58" t="str">
        <f>"NEOPOST ITALIA SRL - 12535770155"</f>
        <v>NEOPOST ITALIA SRL - 12535770155</v>
      </c>
      <c r="F58" t="str">
        <f>"3.000,00 EUR"</f>
        <v>3.000,00 EUR</v>
      </c>
      <c r="G58" t="str">
        <f t="shared" si="5"/>
        <v>01/01/2019 - 31/12/2019</v>
      </c>
      <c r="H58" t="str">
        <f>"0,00 EUR"</f>
        <v>0,00 EUR</v>
      </c>
    </row>
    <row r="59" spans="1:8" x14ac:dyDescent="0.25">
      <c r="A59" t="str">
        <f>"ZF1289EFD5"</f>
        <v>ZF1289EFD5</v>
      </c>
      <c r="B59" t="str">
        <f t="shared" si="0"/>
        <v>Napoli Servizi S.p.A. - 07577090637</v>
      </c>
      <c r="C59" t="str">
        <f>"Aff_diretto RDA-760/2019"</f>
        <v>Aff_diretto RDA-760/2019</v>
      </c>
      <c r="D59" t="str">
        <f t="shared" si="7"/>
        <v>23-AFFIDAMENTO DIRETTO</v>
      </c>
      <c r="E59" t="str">
        <f>"TempoTempo SAS - 04729700486"</f>
        <v>TempoTempo SAS - 04729700486</v>
      </c>
      <c r="F59" t="str">
        <f>"673,00 EUR"</f>
        <v>673,00 EUR</v>
      </c>
      <c r="G59" t="str">
        <f t="shared" si="5"/>
        <v>01/01/2019 - 31/12/2019</v>
      </c>
      <c r="H59" t="str">
        <f>"0,00 EUR"</f>
        <v>0,00 EUR</v>
      </c>
    </row>
    <row r="60" spans="1:8" x14ac:dyDescent="0.25">
      <c r="A60" t="str">
        <f>"Z95289DCEB"</f>
        <v>Z95289DCEB</v>
      </c>
      <c r="B60" t="str">
        <f t="shared" si="0"/>
        <v>Napoli Servizi S.p.A. - 07577090637</v>
      </c>
      <c r="C60" t="str">
        <f>"Aff_diretto RDA-886/19"</f>
        <v>Aff_diretto RDA-886/19</v>
      </c>
      <c r="D60" t="str">
        <f t="shared" si="7"/>
        <v>23-AFFIDAMENTO DIRETTO</v>
      </c>
      <c r="E60" t="str">
        <f>"TIPOG TRIS - 03699121210"</f>
        <v>TIPOG TRIS - 03699121210</v>
      </c>
      <c r="F60" t="str">
        <f>"2.000,00 EUR"</f>
        <v>2.000,00 EUR</v>
      </c>
      <c r="G60" t="str">
        <f t="shared" si="5"/>
        <v>01/01/2019 - 31/12/2019</v>
      </c>
      <c r="H60" t="str">
        <f>"0,00 EUR"</f>
        <v>0,00 EUR</v>
      </c>
    </row>
    <row r="61" spans="1:8" x14ac:dyDescent="0.25">
      <c r="A61" t="str">
        <f>"Z052868B42"</f>
        <v>Z052868B42</v>
      </c>
      <c r="B61" t="str">
        <f t="shared" si="0"/>
        <v>Napoli Servizi S.p.A. - 07577090637</v>
      </c>
      <c r="C61" t="str">
        <f>"Aff_diretto RDA-787/2019"</f>
        <v>Aff_diretto RDA-787/2019</v>
      </c>
      <c r="D61" t="str">
        <f t="shared" si="7"/>
        <v>23-AFFIDAMENTO DIRETTO</v>
      </c>
      <c r="E61" t="str">
        <f>"SOL GRU MARTELLI &amp; C. - 01428361214"</f>
        <v>SOL GRU MARTELLI &amp; C. - 01428361214</v>
      </c>
      <c r="F61" t="str">
        <f>"369,00 EUR"</f>
        <v>369,00 EUR</v>
      </c>
      <c r="G61" t="str">
        <f t="shared" si="5"/>
        <v>01/01/2019 - 31/12/2019</v>
      </c>
      <c r="H61" t="str">
        <f>"0,00 EUR"</f>
        <v>0,00 EUR</v>
      </c>
    </row>
    <row r="62" spans="1:8" x14ac:dyDescent="0.25">
      <c r="A62" t="str">
        <f>"Z092850A08"</f>
        <v>Z092850A08</v>
      </c>
      <c r="B62" t="str">
        <f t="shared" si="0"/>
        <v>Napoli Servizi S.p.A. - 07577090637</v>
      </c>
      <c r="C62" t="str">
        <f>"Acquisto Materiali ICT - RDO-APERTA MEPA 2266422"</f>
        <v>Acquisto Materiali ICT - RDO-APERTA MEPA 2266422</v>
      </c>
      <c r="D62" t="str">
        <f>"04-PROCEDURA NEGOZIATA SENZA PREVIA PUBBLICAZIONE"</f>
        <v>04-PROCEDURA NEGOZIATA SENZA PREVIA PUBBLICAZIONE</v>
      </c>
      <c r="E62" t="str">
        <f>"SOLUZIONE UFFICIO SRL - 02778750246"</f>
        <v>SOLUZIONE UFFICIO SRL - 02778750246</v>
      </c>
      <c r="F62" t="str">
        <f>"7.549,00 EUR"</f>
        <v>7.549,00 EUR</v>
      </c>
      <c r="G62" t="str">
        <f t="shared" si="5"/>
        <v>01/01/2019 - 31/12/2019</v>
      </c>
      <c r="H62" t="str">
        <f>"0,00 EUR"</f>
        <v>0,00 EUR</v>
      </c>
    </row>
    <row r="63" spans="1:8" x14ac:dyDescent="0.25">
      <c r="A63" t="str">
        <f>"ZE328475E9"</f>
        <v>ZE328475E9</v>
      </c>
      <c r="B63" t="str">
        <f t="shared" si="0"/>
        <v>Napoli Servizi S.p.A. - 07577090637</v>
      </c>
      <c r="C63" t="str">
        <f>"Aff_diretto RDA-789/2019"</f>
        <v>Aff_diretto RDA-789/2019</v>
      </c>
      <c r="D63" t="str">
        <f>"23-AFFIDAMENTO DIRETTO"</f>
        <v>23-AFFIDAMENTO DIRETTO</v>
      </c>
      <c r="E63" t="str">
        <f>"ORACLE ITALIA SRL - 03189950961"</f>
        <v>ORACLE ITALIA SRL - 03189950961</v>
      </c>
      <c r="F63" t="str">
        <f>"10.428,00 EUR"</f>
        <v>10.428,00 EUR</v>
      </c>
      <c r="G63" t="str">
        <f t="shared" si="5"/>
        <v>01/01/2019 - 31/12/2019</v>
      </c>
      <c r="H63" t="str">
        <f>"10.428,00 EUR"</f>
        <v>10.428,00 EUR</v>
      </c>
    </row>
    <row r="64" spans="1:8" x14ac:dyDescent="0.25">
      <c r="A64" t="str">
        <f>"Z1E28219CA"</f>
        <v>Z1E28219CA</v>
      </c>
      <c r="B64" t="str">
        <f t="shared" si="0"/>
        <v>Napoli Servizi S.p.A. - 07577090637</v>
      </c>
      <c r="C64" t="str">
        <f>"ODA 4876913"</f>
        <v>ODA 4876913</v>
      </c>
      <c r="D64" t="str">
        <f>"23-AFFIDAMENTO DIRETTO"</f>
        <v>23-AFFIDAMENTO DIRETTO</v>
      </c>
      <c r="E64" t="str">
        <f>"TempoTempo SAS - 04729700486"</f>
        <v>TempoTempo SAS - 04729700486</v>
      </c>
      <c r="F64" t="str">
        <f>"475,00 EUR"</f>
        <v>475,00 EUR</v>
      </c>
      <c r="G64" t="str">
        <f t="shared" si="5"/>
        <v>01/01/2019 - 31/12/2019</v>
      </c>
      <c r="H64" t="str">
        <f>"475,00 EUR"</f>
        <v>475,00 EUR</v>
      </c>
    </row>
    <row r="65" spans="1:8" x14ac:dyDescent="0.25">
      <c r="A65" t="str">
        <f>"Z53282195E"</f>
        <v>Z53282195E</v>
      </c>
      <c r="B65" t="str">
        <f t="shared" si="0"/>
        <v>Napoli Servizi S.p.A. - 07577090637</v>
      </c>
      <c r="C65" t="str">
        <f>"Acquisto Mat ICT - RDO Aperta MePA 2260146"</f>
        <v>Acquisto Mat ICT - RDO Aperta MePA 2260146</v>
      </c>
      <c r="D65" t="str">
        <f>"04-PROCEDURA NEGOZIATA SENZA PREVIA PUBBLICAZIONE"</f>
        <v>04-PROCEDURA NEGOZIATA SENZA PREVIA PUBBLICAZIONE</v>
      </c>
      <c r="E65" t="str">
        <f>"ASIS SRL - 03456230279"</f>
        <v>ASIS SRL - 03456230279</v>
      </c>
      <c r="F65" t="str">
        <f>"22.489,00 EUR"</f>
        <v>22.489,00 EUR</v>
      </c>
      <c r="G65" t="str">
        <f t="shared" si="5"/>
        <v>01/01/2019 - 31/12/2019</v>
      </c>
      <c r="H65" t="str">
        <f>"22.489,39 EUR"</f>
        <v>22.489,39 EUR</v>
      </c>
    </row>
    <row r="66" spans="1:8" x14ac:dyDescent="0.25">
      <c r="A66" t="str">
        <f>"Z0A281BD23"</f>
        <v>Z0A281BD23</v>
      </c>
      <c r="B66" t="str">
        <f t="shared" si="0"/>
        <v>Napoli Servizi S.p.A. - 07577090637</v>
      </c>
      <c r="C66" t="str">
        <f>"Aff_diretto fino al 30/06/2019"</f>
        <v>Aff_diretto fino al 30/06/2019</v>
      </c>
      <c r="D66" t="str">
        <f t="shared" ref="D66:D90" si="8">"23-AFFIDAMENTO DIRETTO"</f>
        <v>23-AFFIDAMENTO DIRETTO</v>
      </c>
      <c r="E66" t="str">
        <f>"LA PARTENOPE INFISSI - 07374411218"</f>
        <v>LA PARTENOPE INFISSI - 07374411218</v>
      </c>
      <c r="F66" t="str">
        <f>"8.205,00 EUR"</f>
        <v>8.205,00 EUR</v>
      </c>
      <c r="G66" t="str">
        <f t="shared" si="5"/>
        <v>01/01/2019 - 31/12/2019</v>
      </c>
      <c r="H66" t="str">
        <f>"7.695,00 EUR"</f>
        <v>7.695,00 EUR</v>
      </c>
    </row>
    <row r="67" spans="1:8" x14ac:dyDescent="0.25">
      <c r="A67" t="str">
        <f>"ZB0281085F"</f>
        <v>ZB0281085F</v>
      </c>
      <c r="B67" t="str">
        <f t="shared" ref="B67:B130" si="9">"Napoli Servizi S.p.A. - 07577090637"</f>
        <v>Napoli Servizi S.p.A. - 07577090637</v>
      </c>
      <c r="C67" t="str">
        <f>"Aff_Diretto ORD 523"</f>
        <v>Aff_Diretto ORD 523</v>
      </c>
      <c r="D67" t="str">
        <f t="shared" si="8"/>
        <v>23-AFFIDAMENTO DIRETTO</v>
      </c>
      <c r="E67" t="str">
        <f>"BARRET CONSULTING SPA - 03880390616"</f>
        <v>BARRET CONSULTING SPA - 03880390616</v>
      </c>
      <c r="F67" t="str">
        <f>"10.500,00 EUR"</f>
        <v>10.500,00 EUR</v>
      </c>
      <c r="G67" t="str">
        <f t="shared" si="5"/>
        <v>01/01/2019 - 31/12/2019</v>
      </c>
      <c r="H67" t="str">
        <f>"0,00 EUR"</f>
        <v>0,00 EUR</v>
      </c>
    </row>
    <row r="68" spans="1:8" x14ac:dyDescent="0.25">
      <c r="A68" t="str">
        <f>"Z302808AB0"</f>
        <v>Z302808AB0</v>
      </c>
      <c r="B68" t="str">
        <f t="shared" si="9"/>
        <v>Napoli Servizi S.p.A. - 07577090637</v>
      </c>
      <c r="C68" t="str">
        <f>"Aff_diretto RDA-574/2019"</f>
        <v>Aff_diretto RDA-574/2019</v>
      </c>
      <c r="D68" t="str">
        <f t="shared" si="8"/>
        <v>23-AFFIDAMENTO DIRETTO</v>
      </c>
      <c r="E68" t="str">
        <f>"LA NUOVA CAMPANIA SRL - 05954831219"</f>
        <v>LA NUOVA CAMPANIA SRL - 05954831219</v>
      </c>
      <c r="F68" t="str">
        <f>"14.700,00 EUR"</f>
        <v>14.700,00 EUR</v>
      </c>
      <c r="G68" t="str">
        <f t="shared" si="5"/>
        <v>01/01/2019 - 31/12/2019</v>
      </c>
      <c r="H68" t="str">
        <f>"0,00 EUR"</f>
        <v>0,00 EUR</v>
      </c>
    </row>
    <row r="69" spans="1:8" x14ac:dyDescent="0.25">
      <c r="A69" t="str">
        <f>"ZE227E2FA2"</f>
        <v>ZE227E2FA2</v>
      </c>
      <c r="B69" t="str">
        <f t="shared" si="9"/>
        <v>Napoli Servizi S.p.A. - 07577090637</v>
      </c>
      <c r="C69" t="str">
        <f>"Aff_diretto RDA-618/2019"</f>
        <v>Aff_diretto RDA-618/2019</v>
      </c>
      <c r="D69" t="str">
        <f t="shared" si="8"/>
        <v>23-AFFIDAMENTO DIRETTO</v>
      </c>
      <c r="E69" t="str">
        <f>"IDC SPA - 06873000639"</f>
        <v>IDC SPA - 06873000639</v>
      </c>
      <c r="F69" t="str">
        <f>"17.000,00 EUR"</f>
        <v>17.000,00 EUR</v>
      </c>
      <c r="G69" t="str">
        <f t="shared" ref="G69:G88" si="10">"01/01/2019 - 31/12/2019"</f>
        <v>01/01/2019 - 31/12/2019</v>
      </c>
      <c r="H69" t="str">
        <f>"7.000,00 EUR"</f>
        <v>7.000,00 EUR</v>
      </c>
    </row>
    <row r="70" spans="1:8" x14ac:dyDescent="0.25">
      <c r="A70" t="str">
        <f>"ZA027E2F7E"</f>
        <v>ZA027E2F7E</v>
      </c>
      <c r="B70" t="str">
        <f t="shared" si="9"/>
        <v>Napoli Servizi S.p.A. - 07577090637</v>
      </c>
      <c r="C70" t="str">
        <f>"ORD 419 - Aff_Diretto"</f>
        <v>ORD 419 - Aff_Diretto</v>
      </c>
      <c r="D70" t="str">
        <f t="shared" si="8"/>
        <v>23-AFFIDAMENTO DIRETTO</v>
      </c>
      <c r="E70" t="str">
        <f>"SIAV - 02334550288"</f>
        <v>SIAV - 02334550288</v>
      </c>
      <c r="F70" t="str">
        <f>"8.600,00 EUR"</f>
        <v>8.600,00 EUR</v>
      </c>
      <c r="G70" t="str">
        <f t="shared" si="10"/>
        <v>01/01/2019 - 31/12/2019</v>
      </c>
      <c r="H70" t="str">
        <f>"0,00 EUR"</f>
        <v>0,00 EUR</v>
      </c>
    </row>
    <row r="71" spans="1:8" x14ac:dyDescent="0.25">
      <c r="A71" t="str">
        <f>"Z9E27D5D22"</f>
        <v>Z9E27D5D22</v>
      </c>
      <c r="B71" t="str">
        <f t="shared" si="9"/>
        <v>Napoli Servizi S.p.A. - 07577090637</v>
      </c>
      <c r="C71" t="str">
        <f>"Aff_Diretto Det 10 19-03-2019"</f>
        <v>Aff_Diretto Det 10 19-03-2019</v>
      </c>
      <c r="D71" t="str">
        <f t="shared" si="8"/>
        <v>23-AFFIDAMENTO DIRETTO</v>
      </c>
      <c r="E71" t="str">
        <f>"SACS SRL - 01517350631"</f>
        <v>SACS SRL - 01517350631</v>
      </c>
      <c r="F71" t="str">
        <f>"40.000,00 EUR"</f>
        <v>40.000,00 EUR</v>
      </c>
      <c r="G71" t="str">
        <f t="shared" si="10"/>
        <v>01/01/2019 - 31/12/2019</v>
      </c>
      <c r="H71" t="str">
        <f>"0,00 EUR"</f>
        <v>0,00 EUR</v>
      </c>
    </row>
    <row r="72" spans="1:8" x14ac:dyDescent="0.25">
      <c r="A72" t="str">
        <f>"ZE627D5BF3"</f>
        <v>ZE627D5BF3</v>
      </c>
      <c r="B72" t="str">
        <f t="shared" si="9"/>
        <v>Napoli Servizi S.p.A. - 07577090637</v>
      </c>
      <c r="C72" t="str">
        <f>"Aff_Diretto Det 10 19-03-2019"</f>
        <v>Aff_Diretto Det 10 19-03-2019</v>
      </c>
      <c r="D72" t="str">
        <f t="shared" si="8"/>
        <v>23-AFFIDAMENTO DIRETTO</v>
      </c>
      <c r="E72" t="str">
        <f>"MERIDIANA SERVIZI - 05167441004"</f>
        <v>MERIDIANA SERVIZI - 05167441004</v>
      </c>
      <c r="F72" t="str">
        <f>"40.000,00 EUR"</f>
        <v>40.000,00 EUR</v>
      </c>
      <c r="G72" t="str">
        <f t="shared" si="10"/>
        <v>01/01/2019 - 31/12/2019</v>
      </c>
      <c r="H72" t="str">
        <f>"0,00 EUR"</f>
        <v>0,00 EUR</v>
      </c>
    </row>
    <row r="73" spans="1:8" x14ac:dyDescent="0.25">
      <c r="A73" t="str">
        <f>"Z8A27D5AAF"</f>
        <v>Z8A27D5AAF</v>
      </c>
      <c r="B73" t="str">
        <f t="shared" si="9"/>
        <v>Napoli Servizi S.p.A. - 07577090637</v>
      </c>
      <c r="C73" t="str">
        <f>"Aff_Diretto Det 10 19-03-2019"</f>
        <v>Aff_Diretto Det 10 19-03-2019</v>
      </c>
      <c r="D73" t="str">
        <f t="shared" si="8"/>
        <v>23-AFFIDAMENTO DIRETTO</v>
      </c>
      <c r="E73" t="str">
        <f>"EDILEM SRL - 02630111215"</f>
        <v>EDILEM SRL - 02630111215</v>
      </c>
      <c r="F73" t="str">
        <f>"21.900,00 EUR"</f>
        <v>21.900,00 EUR</v>
      </c>
      <c r="G73" t="str">
        <f t="shared" si="10"/>
        <v>01/01/2019 - 31/12/2019</v>
      </c>
      <c r="H73" t="str">
        <f>"0,00 EUR"</f>
        <v>0,00 EUR</v>
      </c>
    </row>
    <row r="74" spans="1:8" x14ac:dyDescent="0.25">
      <c r="A74" t="str">
        <f>"ZD327C65A2"</f>
        <v>ZD327C65A2</v>
      </c>
      <c r="B74" t="str">
        <f t="shared" si="9"/>
        <v>Napoli Servizi S.p.A. - 07577090637</v>
      </c>
      <c r="C74" t="str">
        <f>"Aff_diretto 2019 Nolo Imbustatrice"</f>
        <v>Aff_diretto 2019 Nolo Imbustatrice</v>
      </c>
      <c r="D74" t="str">
        <f t="shared" si="8"/>
        <v>23-AFFIDAMENTO DIRETTO</v>
      </c>
      <c r="E74" t="str">
        <f>""</f>
        <v/>
      </c>
      <c r="F74" t="str">
        <f>"0,00 EUR"</f>
        <v>0,00 EUR</v>
      </c>
      <c r="G74" t="str">
        <f t="shared" si="10"/>
        <v>01/01/2019 - 31/12/2019</v>
      </c>
      <c r="H74" t="str">
        <f>"0,00 EUR"</f>
        <v>0,00 EUR</v>
      </c>
    </row>
    <row r="75" spans="1:8" x14ac:dyDescent="0.25">
      <c r="A75" t="str">
        <f>"ZA527AF167"</f>
        <v>ZA527AF167</v>
      </c>
      <c r="B75" t="str">
        <f t="shared" si="9"/>
        <v>Napoli Servizi S.p.A. - 07577090637</v>
      </c>
      <c r="C75" t="str">
        <f>"Aff_Diretto ODA 4847578"</f>
        <v>Aff_Diretto ODA 4847578</v>
      </c>
      <c r="D75" t="str">
        <f t="shared" si="8"/>
        <v>23-AFFIDAMENTO DIRETTO</v>
      </c>
      <c r="E75" t="str">
        <f>"BLUMATICA SRL - 03965190659"</f>
        <v>BLUMATICA SRL - 03965190659</v>
      </c>
      <c r="F75" t="str">
        <f>"620,00 EUR"</f>
        <v>620,00 EUR</v>
      </c>
      <c r="G75" t="str">
        <f t="shared" si="10"/>
        <v>01/01/2019 - 31/12/2019</v>
      </c>
      <c r="H75" t="str">
        <f>"620,00 EUR"</f>
        <v>620,00 EUR</v>
      </c>
    </row>
    <row r="76" spans="1:8" x14ac:dyDescent="0.25">
      <c r="A76" t="str">
        <f>"ZCE279BFC3"</f>
        <v>ZCE279BFC3</v>
      </c>
      <c r="B76" t="str">
        <f t="shared" si="9"/>
        <v>Napoli Servizi S.p.A. - 07577090637</v>
      </c>
      <c r="C76" t="str">
        <f>"Incarico progetto statico e modello strutturale - RDA 512"</f>
        <v>Incarico progetto statico e modello strutturale - RDA 512</v>
      </c>
      <c r="D76" t="str">
        <f t="shared" si="8"/>
        <v>23-AFFIDAMENTO DIRETTO</v>
      </c>
      <c r="E76" t="str">
        <f>""</f>
        <v/>
      </c>
      <c r="F76" t="str">
        <f>"0,00 EUR"</f>
        <v>0,00 EUR</v>
      </c>
      <c r="G76" t="str">
        <f t="shared" si="10"/>
        <v>01/01/2019 - 31/12/2019</v>
      </c>
      <c r="H76" t="str">
        <f>"0,00 EUR"</f>
        <v>0,00 EUR</v>
      </c>
    </row>
    <row r="77" spans="1:8" x14ac:dyDescent="0.25">
      <c r="A77" t="str">
        <f>"ZAD2797628"</f>
        <v>ZAD2797628</v>
      </c>
      <c r="B77" t="str">
        <f t="shared" si="9"/>
        <v>Napoli Servizi S.p.A. - 07577090637</v>
      </c>
      <c r="C77" t="str">
        <f>"Aff_Diretto TD-MePA"</f>
        <v>Aff_Diretto TD-MePA</v>
      </c>
      <c r="D77" t="str">
        <f t="shared" si="8"/>
        <v>23-AFFIDAMENTO DIRETTO</v>
      </c>
      <c r="E77" t="str">
        <f>"REGISTER.IT - 02826010163"</f>
        <v>REGISTER.IT - 02826010163</v>
      </c>
      <c r="F77" t="str">
        <f>"120,00 EUR"</f>
        <v>120,00 EUR</v>
      </c>
      <c r="G77" t="str">
        <f t="shared" si="10"/>
        <v>01/01/2019 - 31/12/2019</v>
      </c>
      <c r="H77" t="str">
        <f>"120,00 EUR"</f>
        <v>120,00 EUR</v>
      </c>
    </row>
    <row r="78" spans="1:8" x14ac:dyDescent="0.25">
      <c r="A78" t="str">
        <f>"ZD22756707"</f>
        <v>ZD22756707</v>
      </c>
      <c r="B78" t="str">
        <f t="shared" si="9"/>
        <v>Napoli Servizi S.p.A. - 07577090637</v>
      </c>
      <c r="C78" t="str">
        <f>"Aff_diretto RDA-375/2019"</f>
        <v>Aff_diretto RDA-375/2019</v>
      </c>
      <c r="D78" t="str">
        <f t="shared" si="8"/>
        <v>23-AFFIDAMENTO DIRETTO</v>
      </c>
      <c r="E78" t="str">
        <f>"NATURALMENTE S.R.L. - 06981231217"</f>
        <v>NATURALMENTE S.R.L. - 06981231217</v>
      </c>
      <c r="F78" t="str">
        <f>"2.000,00 EUR"</f>
        <v>2.000,00 EUR</v>
      </c>
      <c r="G78" t="str">
        <f t="shared" si="10"/>
        <v>01/01/2019 - 31/12/2019</v>
      </c>
      <c r="H78" t="str">
        <f>"0,00 EUR"</f>
        <v>0,00 EUR</v>
      </c>
    </row>
    <row r="79" spans="1:8" x14ac:dyDescent="0.25">
      <c r="A79" t="str">
        <f>"Z9027566E3"</f>
        <v>Z9027566E3</v>
      </c>
      <c r="B79" t="str">
        <f t="shared" si="9"/>
        <v>Napoli Servizi S.p.A. - 07577090637</v>
      </c>
      <c r="C79" t="str">
        <f>"Aff_diretto RDA-367/2019"</f>
        <v>Aff_diretto RDA-367/2019</v>
      </c>
      <c r="D79" t="str">
        <f t="shared" si="8"/>
        <v>23-AFFIDAMENTO DIRETTO</v>
      </c>
      <c r="E79" t="str">
        <f>"CTE CERTIFICAZIONI SRL - 03451850402"</f>
        <v>CTE CERTIFICAZIONI SRL - 03451850402</v>
      </c>
      <c r="F79" t="str">
        <f>"293,00 EUR"</f>
        <v>293,00 EUR</v>
      </c>
      <c r="G79" t="str">
        <f t="shared" si="10"/>
        <v>01/01/2019 - 31/12/2019</v>
      </c>
      <c r="H79" t="str">
        <f>"292,68 EUR"</f>
        <v>292,68 EUR</v>
      </c>
    </row>
    <row r="80" spans="1:8" x14ac:dyDescent="0.25">
      <c r="A80" t="str">
        <f>"ZED274F6B0"</f>
        <v>ZED274F6B0</v>
      </c>
      <c r="B80" t="str">
        <f t="shared" si="9"/>
        <v>Napoli Servizi S.p.A. - 07577090637</v>
      </c>
      <c r="C80" t="str">
        <f>"ODA MePA TDiretta 805057"</f>
        <v>ODA MePA TDiretta 805057</v>
      </c>
      <c r="D80" t="str">
        <f t="shared" si="8"/>
        <v>23-AFFIDAMENTO DIRETTO</v>
      </c>
      <c r="E80" t="str">
        <f>"SABBIE DI PARMA SRL - 02235870348"</f>
        <v>SABBIE DI PARMA SRL - 02235870348</v>
      </c>
      <c r="F80" t="str">
        <f>"17.280,00 EUR"</f>
        <v>17.280,00 EUR</v>
      </c>
      <c r="G80" t="str">
        <f t="shared" si="10"/>
        <v>01/01/2019 - 31/12/2019</v>
      </c>
      <c r="H80" t="str">
        <f>"17.280,00 EUR"</f>
        <v>17.280,00 EUR</v>
      </c>
    </row>
    <row r="81" spans="1:8" x14ac:dyDescent="0.25">
      <c r="A81" t="str">
        <f>"Z8E2721C20"</f>
        <v>Z8E2721C20</v>
      </c>
      <c r="B81" t="str">
        <f t="shared" si="9"/>
        <v>Napoli Servizi S.p.A. - 07577090637</v>
      </c>
      <c r="C81" t="str">
        <f>"Aff_diretto RDA-268/19"</f>
        <v>Aff_diretto RDA-268/19</v>
      </c>
      <c r="D81" t="str">
        <f t="shared" si="8"/>
        <v>23-AFFIDAMENTO DIRETTO</v>
      </c>
      <c r="E81" t="str">
        <f>"RDP TELECOMUNICAZIONI S.R.L. - 07542790634"</f>
        <v>RDP TELECOMUNICAZIONI S.R.L. - 07542790634</v>
      </c>
      <c r="F81" t="str">
        <f>"3.039,00 EUR"</f>
        <v>3.039,00 EUR</v>
      </c>
      <c r="G81" t="str">
        <f t="shared" si="10"/>
        <v>01/01/2019 - 31/12/2019</v>
      </c>
      <c r="H81" t="str">
        <f t="shared" ref="H81:H95" si="11">"0,00 EUR"</f>
        <v>0,00 EUR</v>
      </c>
    </row>
    <row r="82" spans="1:8" x14ac:dyDescent="0.25">
      <c r="A82" t="str">
        <f>"Z5F2ADD1B6"</f>
        <v>Z5F2ADD1B6</v>
      </c>
      <c r="B82" t="str">
        <f t="shared" si="9"/>
        <v>Napoli Servizi S.p.A. - 07577090637</v>
      </c>
      <c r="C82" t="str">
        <f>"Servizio TRASLOCHI - Aff_diretto RDA-2237/2019"</f>
        <v>Servizio TRASLOCHI - Aff_diretto RDA-2237/2019</v>
      </c>
      <c r="D82" t="str">
        <f t="shared" si="8"/>
        <v>23-AFFIDAMENTO DIRETTO</v>
      </c>
      <c r="E82" t="str">
        <f>"LA NUOVA CAMPANIA SRL - 05954831219"</f>
        <v>LA NUOVA CAMPANIA SRL - 05954831219</v>
      </c>
      <c r="F82" t="str">
        <f>"11.420,00 EUR"</f>
        <v>11.420,00 EUR</v>
      </c>
      <c r="G82" t="str">
        <f t="shared" si="10"/>
        <v>01/01/2019 - 31/12/2019</v>
      </c>
      <c r="H82" t="str">
        <f t="shared" si="11"/>
        <v>0,00 EUR</v>
      </c>
    </row>
    <row r="83" spans="1:8" x14ac:dyDescent="0.25">
      <c r="A83" t="str">
        <f>"Z622ADD18A"</f>
        <v>Z622ADD18A</v>
      </c>
      <c r="B83" t="str">
        <f t="shared" si="9"/>
        <v>Napoli Servizi S.p.A. - 07577090637</v>
      </c>
      <c r="C83" t="str">
        <f>"Aff_diretto RDA-2218/2019"</f>
        <v>Aff_diretto RDA-2218/2019</v>
      </c>
      <c r="D83" t="str">
        <f t="shared" si="8"/>
        <v>23-AFFIDAMENTO DIRETTO</v>
      </c>
      <c r="E83" t="str">
        <f>"FERROSISTEM di Carrella Giuseppe - 05583471213"</f>
        <v>FERROSISTEM di Carrella Giuseppe - 05583471213</v>
      </c>
      <c r="F83" t="str">
        <f>"1.520,00 EUR"</f>
        <v>1.520,00 EUR</v>
      </c>
      <c r="G83" t="str">
        <f t="shared" si="10"/>
        <v>01/01/2019 - 31/12/2019</v>
      </c>
      <c r="H83" t="str">
        <f t="shared" si="11"/>
        <v>0,00 EUR</v>
      </c>
    </row>
    <row r="84" spans="1:8" x14ac:dyDescent="0.25">
      <c r="A84" t="str">
        <f>"Z4D2AD06CE"</f>
        <v>Z4D2AD06CE</v>
      </c>
      <c r="B84" t="str">
        <f t="shared" si="9"/>
        <v>Napoli Servizi S.p.A. - 07577090637</v>
      </c>
      <c r="C84" t="str">
        <f>"Aff_diretto RDA-2111/2019"</f>
        <v>Aff_diretto RDA-2111/2019</v>
      </c>
      <c r="D84" t="str">
        <f t="shared" si="8"/>
        <v>23-AFFIDAMENTO DIRETTO</v>
      </c>
      <c r="E84" t="str">
        <f>"TIPOG TRIS - 03699121210"</f>
        <v>TIPOG TRIS - 03699121210</v>
      </c>
      <c r="F84" t="str">
        <f>"110,00 EUR"</f>
        <v>110,00 EUR</v>
      </c>
      <c r="G84" t="str">
        <f t="shared" si="10"/>
        <v>01/01/2019 - 31/12/2019</v>
      </c>
      <c r="H84" t="str">
        <f t="shared" si="11"/>
        <v>0,00 EUR</v>
      </c>
    </row>
    <row r="85" spans="1:8" x14ac:dyDescent="0.25">
      <c r="A85" t="str">
        <f>"ZCC2ACED3A"</f>
        <v>ZCC2ACED3A</v>
      </c>
      <c r="B85" t="str">
        <f t="shared" si="9"/>
        <v>Napoli Servizi S.p.A. - 07577090637</v>
      </c>
      <c r="C85" t="str">
        <f>"Lavori ERP - Aff_diretto RDA-2241/2019"</f>
        <v>Lavori ERP - Aff_diretto RDA-2241/2019</v>
      </c>
      <c r="D85" t="str">
        <f t="shared" si="8"/>
        <v>23-AFFIDAMENTO DIRETTO</v>
      </c>
      <c r="E85" t="str">
        <f>"EDILEM SRL - 02630111215"</f>
        <v>EDILEM SRL - 02630111215</v>
      </c>
      <c r="F85" t="str">
        <f>"40.000,00 EUR"</f>
        <v>40.000,00 EUR</v>
      </c>
      <c r="G85" t="str">
        <f t="shared" si="10"/>
        <v>01/01/2019 - 31/12/2019</v>
      </c>
      <c r="H85" t="str">
        <f t="shared" si="11"/>
        <v>0,00 EUR</v>
      </c>
    </row>
    <row r="86" spans="1:8" x14ac:dyDescent="0.25">
      <c r="A86" t="str">
        <f>"Z822ACE316"</f>
        <v>Z822ACE316</v>
      </c>
      <c r="B86" t="str">
        <f t="shared" si="9"/>
        <v>Napoli Servizi S.p.A. - 07577090637</v>
      </c>
      <c r="C86" t="str">
        <f>"Serv_ARCHITETTURA - Aff_diretto RDA-2025/2019"</f>
        <v>Serv_ARCHITETTURA - Aff_diretto RDA-2025/2019</v>
      </c>
      <c r="D86" t="str">
        <f t="shared" si="8"/>
        <v>23-AFFIDAMENTO DIRETTO</v>
      </c>
      <c r="E86" t="str">
        <f>"DELLA VOLPE ARCHITETTO FLAVIO - 06528800631"</f>
        <v>DELLA VOLPE ARCHITETTO FLAVIO - 06528800631</v>
      </c>
      <c r="F86" t="str">
        <f>"6.240,00 EUR"</f>
        <v>6.240,00 EUR</v>
      </c>
      <c r="G86" t="str">
        <f t="shared" si="10"/>
        <v>01/01/2019 - 31/12/2019</v>
      </c>
      <c r="H86" t="str">
        <f t="shared" si="11"/>
        <v>0,00 EUR</v>
      </c>
    </row>
    <row r="87" spans="1:8" x14ac:dyDescent="0.25">
      <c r="A87" t="str">
        <f>"Z512A89F5D"</f>
        <v>Z512A89F5D</v>
      </c>
      <c r="B87" t="str">
        <f t="shared" si="9"/>
        <v>Napoli Servizi S.p.A. - 07577090637</v>
      </c>
      <c r="C87" t="str">
        <f>"Servizio Accertamento INCASSI - Aff.diretto"</f>
        <v>Servizio Accertamento INCASSI - Aff.diretto</v>
      </c>
      <c r="D87" t="str">
        <f t="shared" si="8"/>
        <v>23-AFFIDAMENTO DIRETTO</v>
      </c>
      <c r="E87" t="str">
        <f>"BARRET CONSULTING SPA - 03880390616"</f>
        <v>BARRET CONSULTING SPA - 03880390616</v>
      </c>
      <c r="F87" t="str">
        <f>"5.000,00 EUR"</f>
        <v>5.000,00 EUR</v>
      </c>
      <c r="G87" t="str">
        <f t="shared" si="10"/>
        <v>01/01/2019 - 31/12/2019</v>
      </c>
      <c r="H87" t="str">
        <f t="shared" si="11"/>
        <v>0,00 EUR</v>
      </c>
    </row>
    <row r="88" spans="1:8" x14ac:dyDescent="0.25">
      <c r="A88" t="str">
        <f>"Z2C2A89F32"</f>
        <v>Z2C2A89F32</v>
      </c>
      <c r="B88" t="str">
        <f t="shared" si="9"/>
        <v>Napoli Servizi S.p.A. - 07577090637</v>
      </c>
      <c r="C88" t="str">
        <f>"Servizio Sottolettura - Aff.diretto"</f>
        <v>Servizio Sottolettura - Aff.diretto</v>
      </c>
      <c r="D88" t="str">
        <f t="shared" si="8"/>
        <v>23-AFFIDAMENTO DIRETTO</v>
      </c>
      <c r="E88" t="str">
        <f>"IDROCOMPUTEX di PAOLO VALENTI - 01579090638"</f>
        <v>IDROCOMPUTEX di PAOLO VALENTI - 01579090638</v>
      </c>
      <c r="F88" t="str">
        <f>"5.000,00 EUR"</f>
        <v>5.000,00 EUR</v>
      </c>
      <c r="G88" t="str">
        <f t="shared" si="10"/>
        <v>01/01/2019 - 31/12/2019</v>
      </c>
      <c r="H88" t="str">
        <f t="shared" si="11"/>
        <v>0,00 EUR</v>
      </c>
    </row>
    <row r="89" spans="1:8" x14ac:dyDescent="0.25">
      <c r="A89" t="str">
        <f>"Z0B2A8615B"</f>
        <v>Z0B2A8615B</v>
      </c>
      <c r="B89" t="str">
        <f t="shared" si="9"/>
        <v>Napoli Servizi S.p.A. - 07577090637</v>
      </c>
      <c r="C89" t="str">
        <f>"Rinnovo PEC - TD MePA 1088386"</f>
        <v>Rinnovo PEC - TD MePA 1088386</v>
      </c>
      <c r="D89" t="str">
        <f t="shared" si="8"/>
        <v>23-AFFIDAMENTO DIRETTO</v>
      </c>
      <c r="E89" t="str">
        <f>"INFOCERT S.P.A. - 07945211006"</f>
        <v>INFOCERT S.P.A. - 07945211006</v>
      </c>
      <c r="F89" t="str">
        <f>"1.048,00 EUR"</f>
        <v>1.048,00 EUR</v>
      </c>
      <c r="G89" t="str">
        <f>"01/01/2019 - 31/12/2021"</f>
        <v>01/01/2019 - 31/12/2021</v>
      </c>
      <c r="H89" t="str">
        <f t="shared" si="11"/>
        <v>0,00 EUR</v>
      </c>
    </row>
    <row r="90" spans="1:8" x14ac:dyDescent="0.25">
      <c r="A90" t="str">
        <f>"ZD82A6AD65"</f>
        <v>ZD82A6AD65</v>
      </c>
      <c r="B90" t="str">
        <f t="shared" si="9"/>
        <v>Napoli Servizi S.p.A. - 07577090637</v>
      </c>
      <c r="C90" t="str">
        <f>"Lavori ERP - Aff_diretto RDA-2023/2019"</f>
        <v>Lavori ERP - Aff_diretto RDA-2023/2019</v>
      </c>
      <c r="D90" t="str">
        <f t="shared" si="8"/>
        <v>23-AFFIDAMENTO DIRETTO</v>
      </c>
      <c r="E90" t="str">
        <f>"SACS SRL - 01517350631"</f>
        <v>SACS SRL - 01517350631</v>
      </c>
      <c r="F90" t="str">
        <f>"40.000,00 EUR"</f>
        <v>40.000,00 EUR</v>
      </c>
      <c r="G90" t="str">
        <f>"01/01/2019 - 31/12/2019"</f>
        <v>01/01/2019 - 31/12/2019</v>
      </c>
      <c r="H90" t="str">
        <f t="shared" si="11"/>
        <v>0,00 EUR</v>
      </c>
    </row>
    <row r="91" spans="1:8" x14ac:dyDescent="0.25">
      <c r="A91" t="str">
        <f>"Z5B2A60E34"</f>
        <v>Z5B2A60E34</v>
      </c>
      <c r="B91" t="str">
        <f t="shared" si="9"/>
        <v>Napoli Servizi S.p.A. - 07577090637</v>
      </c>
      <c r="C91" t="str">
        <f>"Acquisto Attrezzature Edili - RDO MePA 2396935"</f>
        <v>Acquisto Attrezzature Edili - RDO MePA 2396935</v>
      </c>
      <c r="D91" t="str">
        <f>"03-PROCEDURA NEGOZIATA PREVIA PUBBLICAZIONE"</f>
        <v>03-PROCEDURA NEGOZIATA PREVIA PUBBLICAZIONE</v>
      </c>
      <c r="E91" t="str">
        <f>"MR SERVICE SRL - 12479491008"</f>
        <v>MR SERVICE SRL - 12479491008</v>
      </c>
      <c r="F91" t="str">
        <f>"2.964,00 EUR"</f>
        <v>2.964,00 EUR</v>
      </c>
      <c r="G91" t="str">
        <f>"01/01/2019 - 31/12/2019"</f>
        <v>01/01/2019 - 31/12/2019</v>
      </c>
      <c r="H91" t="str">
        <f t="shared" si="11"/>
        <v>0,00 EUR</v>
      </c>
    </row>
    <row r="92" spans="1:8" x14ac:dyDescent="0.25">
      <c r="A92" t="str">
        <f>"ZE42A5682C"</f>
        <v>ZE42A5682C</v>
      </c>
      <c r="B92" t="str">
        <f t="shared" si="9"/>
        <v>Napoli Servizi S.p.A. - 07577090637</v>
      </c>
      <c r="C92" t="str">
        <f>"Aff_diretto RDA-1912/2019"</f>
        <v>Aff_diretto RDA-1912/2019</v>
      </c>
      <c r="D92" t="str">
        <f>"23-AFFIDAMENTO DIRETTO"</f>
        <v>23-AFFIDAMENTO DIRETTO</v>
      </c>
      <c r="E92" t="str">
        <f>"INAZ SRL - 05026960962"</f>
        <v>INAZ SRL - 05026960962</v>
      </c>
      <c r="F92" t="str">
        <f>"300,00 EUR"</f>
        <v>300,00 EUR</v>
      </c>
      <c r="G92" t="str">
        <f>"01/01/2019 - 31/12/2019"</f>
        <v>01/01/2019 - 31/12/2019</v>
      </c>
      <c r="H92" t="str">
        <f t="shared" si="11"/>
        <v>0,00 EUR</v>
      </c>
    </row>
    <row r="93" spans="1:8" x14ac:dyDescent="0.25">
      <c r="A93" t="str">
        <f>"Z832A4F6C4"</f>
        <v>Z832A4F6C4</v>
      </c>
      <c r="B93" t="str">
        <f t="shared" si="9"/>
        <v>Napoli Servizi S.p.A. - 07577090637</v>
      </c>
      <c r="C93" t="str">
        <f>"Aff_diretto RDA-1905/2019"</f>
        <v>Aff_diretto RDA-1905/2019</v>
      </c>
      <c r="D93" t="str">
        <f>"23-AFFIDAMENTO DIRETTO"</f>
        <v>23-AFFIDAMENTO DIRETTO</v>
      </c>
      <c r="E93" t="str">
        <f>"LOMBARDI NICOLA - 07412320157"</f>
        <v>LOMBARDI NICOLA - 07412320157</v>
      </c>
      <c r="F93" t="str">
        <f>"1.525,00 EUR"</f>
        <v>1.525,00 EUR</v>
      </c>
      <c r="G93" t="str">
        <f>"01/01/2019 - 31/12/2019"</f>
        <v>01/01/2019 - 31/12/2019</v>
      </c>
      <c r="H93" t="str">
        <f t="shared" si="11"/>
        <v>0,00 EUR</v>
      </c>
    </row>
    <row r="94" spans="1:8" x14ac:dyDescent="0.25">
      <c r="A94" t="str">
        <f>"ZAA2A4F67E"</f>
        <v>ZAA2A4F67E</v>
      </c>
      <c r="B94" t="str">
        <f t="shared" si="9"/>
        <v>Napoli Servizi S.p.A. - 07577090637</v>
      </c>
      <c r="C94" t="str">
        <f>"Aff_diretto RDA-1886/2019"</f>
        <v>Aff_diretto RDA-1886/2019</v>
      </c>
      <c r="D94" t="str">
        <f>"23-AFFIDAMENTO DIRETTO"</f>
        <v>23-AFFIDAMENTO DIRETTO</v>
      </c>
      <c r="E94" t="str">
        <f>"GRUPPO PARZIALE ANTONIO E F. - 07660480638"</f>
        <v>GRUPPO PARZIALE ANTONIO E F. - 07660480638</v>
      </c>
      <c r="F94" t="str">
        <f>"257,00 EUR"</f>
        <v>257,00 EUR</v>
      </c>
      <c r="G94" t="str">
        <f>"01/01/2019 - 31/12/2019"</f>
        <v>01/01/2019 - 31/12/2019</v>
      </c>
      <c r="H94" t="str">
        <f t="shared" si="11"/>
        <v>0,00 EUR</v>
      </c>
    </row>
    <row r="95" spans="1:8" x14ac:dyDescent="0.25">
      <c r="A95" t="str">
        <f>"0000000000"</f>
        <v>0000000000</v>
      </c>
      <c r="B95" t="str">
        <f t="shared" si="9"/>
        <v>Napoli Servizi S.p.A. - 07577090637</v>
      </c>
      <c r="C95" t="str">
        <f>"Lettera di invito per attività tecniche di progettazione definitiva-esecutiva e direzione lavori di messa in sicurezza del fabbricato di proprietà Comunale sito in Napoli in via Salita Vetriera 23"</f>
        <v>Lettera di invito per attività tecniche di progettazione definitiva-esecutiva e direzione lavori di messa in sicurezza del fabbricato di proprietà Comunale sito in Napoli in via Salita Vetriera 23</v>
      </c>
      <c r="D95" t="str">
        <f>"04-PROCEDURA NEGOZIATA SENZA PREVIA PUBBLICAZIONE"</f>
        <v>04-PROCEDURA NEGOZIATA SENZA PREVIA PUBBLICAZIONE</v>
      </c>
      <c r="E95" t="str">
        <f>"Ing. Pasquale Gerardo Musto - 03745571210"</f>
        <v>Ing. Pasquale Gerardo Musto - 03745571210</v>
      </c>
      <c r="F95" t="str">
        <f>"9.972,21 EUR"</f>
        <v>9.972,21 EUR</v>
      </c>
      <c r="G95" t="s">
        <v>17</v>
      </c>
      <c r="H95" t="str">
        <f t="shared" si="11"/>
        <v>0,00 EUR</v>
      </c>
    </row>
    <row r="96" spans="1:8" x14ac:dyDescent="0.25">
      <c r="A96" t="str">
        <f>"ZA621D7278"</f>
        <v>ZA621D7278</v>
      </c>
      <c r="B96" t="str">
        <f t="shared" si="9"/>
        <v>Napoli Servizi S.p.A. - 07577090637</v>
      </c>
      <c r="C96" t="str">
        <f>"Acquisto Asfaldo a CALDO"</f>
        <v>Acquisto Asfaldo a CALDO</v>
      </c>
      <c r="D96" t="str">
        <f>"23-AFFIDAMENTO DIRETTO"</f>
        <v>23-AFFIDAMENTO DIRETTO</v>
      </c>
      <c r="E96" t="str">
        <f>"MARSELLA F.SCO &amp; V.RIO S.N.C. - 01240441210"</f>
        <v>MARSELLA F.SCO &amp; V.RIO S.N.C. - 01240441210</v>
      </c>
      <c r="F96" t="str">
        <f>"40.000,00 EUR"</f>
        <v>40.000,00 EUR</v>
      </c>
      <c r="G96" t="str">
        <f>"01/01/2018 - 30/06/2019"</f>
        <v>01/01/2018 - 30/06/2019</v>
      </c>
      <c r="H96" t="str">
        <f>"40.797,00 EUR"</f>
        <v>40.797,00 EUR</v>
      </c>
    </row>
    <row r="97" spans="1:8" x14ac:dyDescent="0.25">
      <c r="A97" t="str">
        <f>"ZA92345F62"</f>
        <v>ZA92345F62</v>
      </c>
      <c r="B97" t="str">
        <f t="shared" si="9"/>
        <v>Napoli Servizi S.p.A. - 07577090637</v>
      </c>
      <c r="C97" t="str">
        <f>"Pubblicazioni GARE"</f>
        <v>Pubblicazioni GARE</v>
      </c>
      <c r="D97" t="str">
        <f>"01-PROCEDURA APERTA"</f>
        <v>01-PROCEDURA APERTA</v>
      </c>
      <c r="E97" t="str">
        <f>"MEDIA GRAPHIC - 05833480725"</f>
        <v>MEDIA GRAPHIC - 05833480725</v>
      </c>
      <c r="F97" t="str">
        <f>"8.200,00 EUR"</f>
        <v>8.200,00 EUR</v>
      </c>
      <c r="G97" t="str">
        <f>"01/01/2018 - 31/12/2018"</f>
        <v>01/01/2018 - 31/12/2018</v>
      </c>
      <c r="H97" t="str">
        <f>"8.200,00 EUR"</f>
        <v>8.200,00 EUR</v>
      </c>
    </row>
    <row r="98" spans="1:8" x14ac:dyDescent="0.25">
      <c r="A98" t="str">
        <f>"ZB02449798"</f>
        <v>ZB02449798</v>
      </c>
      <c r="B98" t="str">
        <f t="shared" si="9"/>
        <v>Napoli Servizi S.p.A. - 07577090637</v>
      </c>
      <c r="C98" t="str">
        <f>"ODA 4393515 - Estensione di garanzia HW - U2LA7PE"</f>
        <v>ODA 4393515 - Estensione di garanzia HW - U2LA7PE</v>
      </c>
      <c r="D98" t="str">
        <f>"01-PROCEDURA APERTA"</f>
        <v>01-PROCEDURA APERTA</v>
      </c>
      <c r="E98" t="str">
        <f>"GA SERVICE SRL - 07252620963"</f>
        <v>GA SERVICE SRL - 07252620963</v>
      </c>
      <c r="F98" t="str">
        <f>"538,90 EUR"</f>
        <v>538,90 EUR</v>
      </c>
      <c r="G98" t="str">
        <f>"08/07/2018 - 09/07/2019"</f>
        <v>08/07/2018 - 09/07/2019</v>
      </c>
      <c r="H98" t="str">
        <f>"538,90 EUR"</f>
        <v>538,90 EUR</v>
      </c>
    </row>
    <row r="99" spans="1:8" x14ac:dyDescent="0.25">
      <c r="A99" t="str">
        <f>"ZB12496078"</f>
        <v>ZB12496078</v>
      </c>
      <c r="B99" t="str">
        <f t="shared" si="9"/>
        <v>Napoli Servizi S.p.A. - 07577090637</v>
      </c>
      <c r="C99" t="str">
        <f>"ODA 4431289 - Canone Portale Trasparenza e Albo fornitori"</f>
        <v>ODA 4431289 - Canone Portale Trasparenza e Albo fornitori</v>
      </c>
      <c r="D99" t="str">
        <f>"01-PROCEDURA APERTA"</f>
        <v>01-PROCEDURA APERTA</v>
      </c>
      <c r="E99" t="str">
        <f>"MEDIACONSULT SRL - 07189200723"</f>
        <v>MEDIACONSULT SRL - 07189200723</v>
      </c>
      <c r="F99" t="str">
        <f>"6.100,00 EUR"</f>
        <v>6.100,00 EUR</v>
      </c>
      <c r="G99" t="str">
        <f>"01/08/2018 - 31/07/2019"</f>
        <v>01/08/2018 - 31/07/2019</v>
      </c>
      <c r="H99" t="str">
        <f>"6.100,00 EUR"</f>
        <v>6.100,00 EUR</v>
      </c>
    </row>
    <row r="100" spans="1:8" x14ac:dyDescent="0.25">
      <c r="A100" t="str">
        <f>"ZB22542BB3"</f>
        <v>ZB22542BB3</v>
      </c>
      <c r="B100" t="str">
        <f t="shared" si="9"/>
        <v>Napoli Servizi S.p.A. - 07577090637</v>
      </c>
      <c r="C100" t="str">
        <f>"Noleggio a Caldo SPAZZATRICE STRADALE"</f>
        <v>Noleggio a Caldo SPAZZATRICE STRADALE</v>
      </c>
      <c r="D100" t="str">
        <f>"08-AFFIDAMENTO IN ECONOMIA - COTTIMO FIDUCIARIO"</f>
        <v>08-AFFIDAMENTO IN ECONOMIA - COTTIMO FIDUCIARIO</v>
      </c>
      <c r="E100" t="str">
        <f>"La Gardenia Srl - 05983520635"</f>
        <v>La Gardenia Srl - 05983520635</v>
      </c>
      <c r="F100" t="str">
        <f>"1.050,00 EUR"</f>
        <v>1.050,00 EUR</v>
      </c>
      <c r="G100" t="str">
        <f>"30/10/2018 - 07/11/2018"</f>
        <v>30/10/2018 - 07/11/2018</v>
      </c>
      <c r="H100" t="str">
        <f>"1.050,00 EUR"</f>
        <v>1.050,00 EUR</v>
      </c>
    </row>
    <row r="101" spans="1:8" x14ac:dyDescent="0.25">
      <c r="A101" t="str">
        <f>"ZB422A5985"</f>
        <v>ZB422A5985</v>
      </c>
      <c r="B101" t="str">
        <f t="shared" si="9"/>
        <v>Napoli Servizi S.p.A. - 07577090637</v>
      </c>
      <c r="C101" t="str">
        <f>"ODA 4192331 - Canone Aggiornamento SW Blumatica Sicurezza e Antincendio"</f>
        <v>ODA 4192331 - Canone Aggiornamento SW Blumatica Sicurezza e Antincendio</v>
      </c>
      <c r="D101" t="str">
        <f>"23-AFFIDAMENTO DIRETTO"</f>
        <v>23-AFFIDAMENTO DIRETTO</v>
      </c>
      <c r="E101" t="str">
        <f>"BLUMATICA SRL - 03965190659"</f>
        <v>BLUMATICA SRL - 03965190659</v>
      </c>
      <c r="F101" t="str">
        <f>"1.270,00 EUR"</f>
        <v>1.270,00 EUR</v>
      </c>
      <c r="G101" t="str">
        <f>"30/03/2018 - 29/03/2019"</f>
        <v>30/03/2018 - 29/03/2019</v>
      </c>
      <c r="H101" t="str">
        <f>"1.270,00 EUR"</f>
        <v>1.270,00 EUR</v>
      </c>
    </row>
    <row r="102" spans="1:8" x14ac:dyDescent="0.25">
      <c r="A102" t="str">
        <f>"ZBA26738BF"</f>
        <v>ZBA26738BF</v>
      </c>
      <c r="B102" t="str">
        <f t="shared" si="9"/>
        <v>Napoli Servizi S.p.A. - 07577090637</v>
      </c>
      <c r="C102" t="str">
        <f>"ODA 4688959 - Nastro quadricromia da 500 stampe per Datacard SD260"</f>
        <v>ODA 4688959 - Nastro quadricromia da 500 stampe per Datacard SD260</v>
      </c>
      <c r="D102" t="str">
        <f>"01-PROCEDURA APERTA"</f>
        <v>01-PROCEDURA APERTA</v>
      </c>
      <c r="E102" t="str">
        <f>"TempoTempo SAS - 04729700486"</f>
        <v>TempoTempo SAS - 04729700486</v>
      </c>
      <c r="F102" t="str">
        <f>"280,00 EUR"</f>
        <v>280,00 EUR</v>
      </c>
      <c r="G102" t="str">
        <f>"21/12/2018 - 21/12/2018"</f>
        <v>21/12/2018 - 21/12/2018</v>
      </c>
      <c r="H102" t="str">
        <f>"280,00 EUR"</f>
        <v>280,00 EUR</v>
      </c>
    </row>
    <row r="103" spans="1:8" x14ac:dyDescent="0.25">
      <c r="A103" t="str">
        <f>"ZBE2327006"</f>
        <v>ZBE2327006</v>
      </c>
      <c r="B103" t="str">
        <f t="shared" si="9"/>
        <v>Napoli Servizi S.p.A. - 07577090637</v>
      </c>
      <c r="C103" t="str">
        <f>"Posta Elettronica GMAIL"</f>
        <v>Posta Elettronica GMAIL</v>
      </c>
      <c r="D103" t="str">
        <f>"23-AFFIDAMENTO DIRETTO"</f>
        <v>23-AFFIDAMENTO DIRETTO</v>
      </c>
      <c r="E103" t="str">
        <f>"POWER2CLOUD - 09669790967"</f>
        <v>POWER2CLOUD - 09669790967</v>
      </c>
      <c r="F103" t="str">
        <f>"480,00 EUR"</f>
        <v>480,00 EUR</v>
      </c>
      <c r="G103" t="str">
        <f>"16/04/2018 - 15/04/2019"</f>
        <v>16/04/2018 - 15/04/2019</v>
      </c>
      <c r="H103" t="str">
        <f>"480,00 EUR"</f>
        <v>480,00 EUR</v>
      </c>
    </row>
    <row r="104" spans="1:8" x14ac:dyDescent="0.25">
      <c r="A104" t="str">
        <f>"ZBF252ED9C"</f>
        <v>ZBF252ED9C</v>
      </c>
      <c r="B104" t="str">
        <f t="shared" si="9"/>
        <v>Napoli Servizi S.p.A. - 07577090637</v>
      </c>
      <c r="C104" t="str">
        <f>"Manutenzione Parco AUTO"</f>
        <v>Manutenzione Parco AUTO</v>
      </c>
      <c r="D104" t="str">
        <f>"01-PROCEDURA APERTA"</f>
        <v>01-PROCEDURA APERTA</v>
      </c>
      <c r="E104" t="str">
        <f>"CORECAR SAS - 05838721214"</f>
        <v>CORECAR SAS - 05838721214</v>
      </c>
      <c r="F104" t="str">
        <f>"3.756,31 EUR"</f>
        <v>3.756,31 EUR</v>
      </c>
      <c r="G104" t="str">
        <f>"28/09/2018 - 20/11/2018"</f>
        <v>28/09/2018 - 20/11/2018</v>
      </c>
      <c r="H104" t="str">
        <f>"0,00 EUR"</f>
        <v>0,00 EUR</v>
      </c>
    </row>
    <row r="105" spans="1:8" x14ac:dyDescent="0.25">
      <c r="A105" t="str">
        <f>"ZC5265CEFA"</f>
        <v>ZC5265CEFA</v>
      </c>
      <c r="B105" t="str">
        <f t="shared" si="9"/>
        <v>Napoli Servizi S.p.A. - 07577090637</v>
      </c>
      <c r="C105" t="str">
        <f>"Smaltimento Rifiuti"</f>
        <v>Smaltimento Rifiuti</v>
      </c>
      <c r="D105" t="str">
        <f>"23-AFFIDAMENTO DIRETTO"</f>
        <v>23-AFFIDAMENTO DIRETTO</v>
      </c>
      <c r="E105" t="str">
        <f>"ICM COSTRUZIONI SRL - 07806581216"</f>
        <v>ICM COSTRUZIONI SRL - 07806581216</v>
      </c>
      <c r="F105" t="str">
        <f>"22.670,60 EUR"</f>
        <v>22.670,60 EUR</v>
      </c>
      <c r="G105" t="str">
        <f>"17/12/2018 - 17/12/2018"</f>
        <v>17/12/2018 - 17/12/2018</v>
      </c>
      <c r="H105" t="str">
        <f>"0,00 EUR"</f>
        <v>0,00 EUR</v>
      </c>
    </row>
    <row r="106" spans="1:8" x14ac:dyDescent="0.25">
      <c r="A106" t="str">
        <f>"ZCC2502173"</f>
        <v>ZCC2502173</v>
      </c>
      <c r="B106" t="str">
        <f t="shared" si="9"/>
        <v>Napoli Servizi S.p.A. - 07577090637</v>
      </c>
      <c r="C106" t="str">
        <f>"Stampe Tipografiche"</f>
        <v>Stampe Tipografiche</v>
      </c>
      <c r="D106" t="str">
        <f>"01-PROCEDURA APERTA"</f>
        <v>01-PROCEDURA APERTA</v>
      </c>
      <c r="E106" t="str">
        <f>"TIPOG TRIS - 03699121210"</f>
        <v>TIPOG TRIS - 03699121210</v>
      </c>
      <c r="F106" t="str">
        <f>"1.700,00 EUR"</f>
        <v>1.700,00 EUR</v>
      </c>
      <c r="G106" t="str">
        <f>"20/09/2018 - 20/09/2018"</f>
        <v>20/09/2018 - 20/09/2018</v>
      </c>
      <c r="H106" t="str">
        <f>"1.700,00 EUR"</f>
        <v>1.700,00 EUR</v>
      </c>
    </row>
    <row r="107" spans="1:8" x14ac:dyDescent="0.25">
      <c r="A107" t="str">
        <f>"ZCE22568DC"</f>
        <v>ZCE22568DC</v>
      </c>
      <c r="B107" t="str">
        <f t="shared" si="9"/>
        <v>Napoli Servizi S.p.A. - 07577090637</v>
      </c>
      <c r="C107" t="str">
        <f>"Manutenzione Cestello Elevatore"</f>
        <v>Manutenzione Cestello Elevatore</v>
      </c>
      <c r="D107" t="str">
        <f>"23-AFFIDAMENTO DIRETTO"</f>
        <v>23-AFFIDAMENTO DIRETTO</v>
      </c>
      <c r="E107" t="str">
        <f>"SOL GRU MARTELLI &amp; C. - 01428361214"</f>
        <v>SOL GRU MARTELLI &amp; C. - 01428361214</v>
      </c>
      <c r="F107" t="str">
        <f>"730,00 EUR"</f>
        <v>730,00 EUR</v>
      </c>
      <c r="G107" t="str">
        <f>"16/02/2018 - 16/02/2018"</f>
        <v>16/02/2018 - 16/02/2018</v>
      </c>
      <c r="H107" t="str">
        <f>"730,00 EUR"</f>
        <v>730,00 EUR</v>
      </c>
    </row>
    <row r="108" spans="1:8" x14ac:dyDescent="0.25">
      <c r="A108" t="str">
        <f>"ZCF22A6F81"</f>
        <v>ZCF22A6F81</v>
      </c>
      <c r="B108" t="str">
        <f t="shared" si="9"/>
        <v>Napoli Servizi S.p.A. - 07577090637</v>
      </c>
      <c r="C108" t="str">
        <f>"TD 423308 - Canone Applicativi TEAM System"</f>
        <v>TD 423308 - Canone Applicativi TEAM System</v>
      </c>
      <c r="D108" t="str">
        <f>"01-PROCEDURA APERTA"</f>
        <v>01-PROCEDURA APERTA</v>
      </c>
      <c r="E108" t="str">
        <f>"TEAM SYSTEM C.&amp; D. SRL - 01312731217"</f>
        <v>TEAM SYSTEM C.&amp; D. SRL - 01312731217</v>
      </c>
      <c r="F108" t="str">
        <f>"25.375,00 EUR"</f>
        <v>25.375,00 EUR</v>
      </c>
      <c r="G108" t="str">
        <f>"01/01/2018 - 31/12/2018"</f>
        <v>01/01/2018 - 31/12/2018</v>
      </c>
      <c r="H108" t="str">
        <f>"23.400,00 EUR"</f>
        <v>23.400,00 EUR</v>
      </c>
    </row>
    <row r="109" spans="1:8" x14ac:dyDescent="0.25">
      <c r="A109" t="str">
        <f>"ZD121D1FEF"</f>
        <v>ZD121D1FEF</v>
      </c>
      <c r="B109" t="str">
        <f t="shared" si="9"/>
        <v>Napoli Servizi S.p.A. - 07577090637</v>
      </c>
      <c r="C109" t="str">
        <f>"Acquisto Materiali Derattizzanti/Disinfestanti"</f>
        <v>Acquisto Materiali Derattizzanti/Disinfestanti</v>
      </c>
      <c r="D109" t="str">
        <f>"23-AFFIDAMENTO DIRETTO"</f>
        <v>23-AFFIDAMENTO DIRETTO</v>
      </c>
      <c r="E109" t="str">
        <f>"COPYR S.P.A. - 00878291004"</f>
        <v>COPYR S.P.A. - 00878291004</v>
      </c>
      <c r="F109" t="str">
        <f>"1.662,73 EUR"</f>
        <v>1.662,73 EUR</v>
      </c>
      <c r="G109" t="str">
        <f>"18/01/2018 - 18/01/2018"</f>
        <v>18/01/2018 - 18/01/2018</v>
      </c>
      <c r="H109" t="str">
        <f>"1.662,73 EUR"</f>
        <v>1.662,73 EUR</v>
      </c>
    </row>
    <row r="110" spans="1:8" x14ac:dyDescent="0.25">
      <c r="A110" t="str">
        <f>"ZD62305E2D"</f>
        <v>ZD62305E2D</v>
      </c>
      <c r="B110" t="str">
        <f t="shared" si="9"/>
        <v>Napoli Servizi S.p.A. - 07577090637</v>
      </c>
      <c r="C110" t="str">
        <f>"Stampe Tipografiche"</f>
        <v>Stampe Tipografiche</v>
      </c>
      <c r="D110" t="str">
        <f>"23-AFFIDAMENTO DIRETTO"</f>
        <v>23-AFFIDAMENTO DIRETTO</v>
      </c>
      <c r="E110" t="str">
        <f>"LEONARDO SRL - 07321610631"</f>
        <v>LEONARDO SRL - 07321610631</v>
      </c>
      <c r="F110" t="str">
        <f>"2.072,00 EUR"</f>
        <v>2.072,00 EUR</v>
      </c>
      <c r="G110" t="str">
        <f>"16/04/2018 - 30/09/2018"</f>
        <v>16/04/2018 - 30/09/2018</v>
      </c>
      <c r="H110" t="str">
        <f>"720,00 EUR"</f>
        <v>720,00 EUR</v>
      </c>
    </row>
    <row r="111" spans="1:8" x14ac:dyDescent="0.25">
      <c r="A111" t="str">
        <f>"ZD7244984D"</f>
        <v>ZD7244984D</v>
      </c>
      <c r="B111" t="str">
        <f t="shared" si="9"/>
        <v>Napoli Servizi S.p.A. - 07577090637</v>
      </c>
      <c r="C111" t="str">
        <f>"ODA 4393526 - Estensione di garanzia HW - U3AQ6PE dal 12/07/2017 - HPE 1 year post warranty Foundation Care Next business day LTO Autoloader Service"</f>
        <v>ODA 4393526 - Estensione di garanzia HW - U3AQ6PE dal 12/07/2017 - HPE 1 year post warranty Foundation Care Next business day LTO Autoloader Service</v>
      </c>
      <c r="D111" t="str">
        <f>"23-AFFIDAMENTO DIRETTO"</f>
        <v>23-AFFIDAMENTO DIRETTO</v>
      </c>
      <c r="E111" t="str">
        <f>"PROJECT INFORMATICA SRL - 02006010165"</f>
        <v>PROJECT INFORMATICA SRL - 02006010165</v>
      </c>
      <c r="F111" t="str">
        <f>"711,00 EUR"</f>
        <v>711,00 EUR</v>
      </c>
      <c r="G111" t="str">
        <f>"13/07/2018 - 15/07/2019"</f>
        <v>13/07/2018 - 15/07/2019</v>
      </c>
      <c r="H111" t="str">
        <f>"711,00 EUR"</f>
        <v>711,00 EUR</v>
      </c>
    </row>
    <row r="112" spans="1:8" x14ac:dyDescent="0.25">
      <c r="A112" t="str">
        <f>"ZDA23F25E7"</f>
        <v>ZDA23F25E7</v>
      </c>
      <c r="B112" t="str">
        <f t="shared" si="9"/>
        <v>Napoli Servizi S.p.A. - 07577090637</v>
      </c>
      <c r="C112" t="str">
        <f>"Acquisto Materiali per manutenzione Infissi/Serrature"</f>
        <v>Acquisto Materiali per manutenzione Infissi/Serrature</v>
      </c>
      <c r="D112" t="str">
        <f>"01-PROCEDURA APERTA"</f>
        <v>01-PROCEDURA APERTA</v>
      </c>
      <c r="E112" t="str">
        <f>"LA PARTENOPE INFISSI - 07374411218"</f>
        <v>LA PARTENOPE INFISSI - 07374411218</v>
      </c>
      <c r="F112" t="str">
        <f>"2.330,00 EUR"</f>
        <v>2.330,00 EUR</v>
      </c>
      <c r="G112" t="str">
        <f>"14/06/2018 - 14/07/2018"</f>
        <v>14/06/2018 - 14/07/2018</v>
      </c>
      <c r="H112" t="str">
        <f>"2.330,00 EUR"</f>
        <v>2.330,00 EUR</v>
      </c>
    </row>
    <row r="113" spans="1:8" x14ac:dyDescent="0.25">
      <c r="A113" t="str">
        <f>"ZDC22C189C"</f>
        <v>ZDC22C189C</v>
      </c>
      <c r="B113" t="str">
        <f t="shared" si="9"/>
        <v>Napoli Servizi S.p.A. - 07577090637</v>
      </c>
      <c r="C113" t="str">
        <f>"Acquisto Materiali Elettrici"</f>
        <v>Acquisto Materiali Elettrici</v>
      </c>
      <c r="D113" t="str">
        <f>"23-AFFIDAMENTO DIRETTO"</f>
        <v>23-AFFIDAMENTO DIRETTO</v>
      </c>
      <c r="E113" t="str">
        <f>"SONEPAR ITALIA - 00825330285"</f>
        <v>SONEPAR ITALIA - 00825330285</v>
      </c>
      <c r="F113" t="str">
        <f>"3.192,05 EUR"</f>
        <v>3.192,05 EUR</v>
      </c>
      <c r="G113" t="str">
        <f>"12/03/2018 - 30/09/2018"</f>
        <v>12/03/2018 - 30/09/2018</v>
      </c>
      <c r="H113" t="str">
        <f>"3.192,05 EUR"</f>
        <v>3.192,05 EUR</v>
      </c>
    </row>
    <row r="114" spans="1:8" x14ac:dyDescent="0.25">
      <c r="A114" t="str">
        <f>"ZDC22CFC14"</f>
        <v>ZDC22CFC14</v>
      </c>
      <c r="B114" t="str">
        <f t="shared" si="9"/>
        <v>Napoli Servizi S.p.A. - 07577090637</v>
      </c>
      <c r="C114" t="str">
        <f>"RDO MePA 1881251 - Canone Archidoc - Rinnovo del servizio di Application Management Basic (assistenza e manutenzione) per l'anno 2018 per l'impianto Archiflow in uso in Napoli Servizi:"</f>
        <v>RDO MePA 1881251 - Canone Archidoc - Rinnovo del servizio di Application Management Basic (assistenza e manutenzione) per l'anno 2018 per l'impianto Archiflow in uso in Napoli Servizi:</v>
      </c>
      <c r="D114" t="str">
        <f>"07-SISTEMA DINAMICO DI ACQUISIZIONE"</f>
        <v>07-SISTEMA DINAMICO DI ACQUISIZIONE</v>
      </c>
      <c r="E114" t="str">
        <f>"SIAV - 02334550288"</f>
        <v>SIAV - 02334550288</v>
      </c>
      <c r="F114" t="str">
        <f>"13.670,00 EUR"</f>
        <v>13.670,00 EUR</v>
      </c>
      <c r="G114" t="str">
        <f>"01/01/2018 - 31/12/2018"</f>
        <v>01/01/2018 - 31/12/2018</v>
      </c>
      <c r="H114" t="str">
        <f>"13.670,00 EUR"</f>
        <v>13.670,00 EUR</v>
      </c>
    </row>
    <row r="115" spans="1:8" x14ac:dyDescent="0.25">
      <c r="A115" t="str">
        <f>"ZE82486A7D"</f>
        <v>ZE82486A7D</v>
      </c>
      <c r="B115" t="str">
        <f t="shared" si="9"/>
        <v>Napoli Servizi S.p.A. - 07577090637</v>
      </c>
      <c r="C115" t="str">
        <f>"Smaltimento Rifiuti"</f>
        <v>Smaltimento Rifiuti</v>
      </c>
      <c r="D115" t="str">
        <f>"01-PROCEDURA APERTA"</f>
        <v>01-PROCEDURA APERTA</v>
      </c>
      <c r="E115" t="str">
        <f>"ICM COSTRUZIONI SRL - 07806581216"</f>
        <v>ICM COSTRUZIONI SRL - 07806581216</v>
      </c>
      <c r="F115" t="str">
        <f>"13.961,70 EUR"</f>
        <v>13.961,70 EUR</v>
      </c>
      <c r="G115" t="str">
        <f>"30/07/2018 - 30/09/2018"</f>
        <v>30/07/2018 - 30/09/2018</v>
      </c>
      <c r="H115" t="str">
        <f>"13.961,70 EUR"</f>
        <v>13.961,70 EUR</v>
      </c>
    </row>
    <row r="116" spans="1:8" x14ac:dyDescent="0.25">
      <c r="A116" t="str">
        <f>"ZEC249AA38"</f>
        <v>ZEC249AA38</v>
      </c>
      <c r="B116" t="str">
        <f t="shared" si="9"/>
        <v>Napoli Servizi S.p.A. - 07577090637</v>
      </c>
      <c r="C116" t="str">
        <f>"ODA 4431336 - Canone Symantec Backup Exec"</f>
        <v>ODA 4431336 - Canone Symantec Backup Exec</v>
      </c>
      <c r="D116" t="str">
        <f>"01-PROCEDURA APERTA"</f>
        <v>01-PROCEDURA APERTA</v>
      </c>
      <c r="E116" t="str">
        <f>"DPS INFORMATICA S.N.C. - 01486330309"</f>
        <v>DPS INFORMATICA S.N.C. - 01486330309</v>
      </c>
      <c r="F116" t="str">
        <f>"173,00 EUR"</f>
        <v>173,00 EUR</v>
      </c>
      <c r="G116" t="str">
        <f>"28/07/2018 - 27/07/2019"</f>
        <v>28/07/2018 - 27/07/2019</v>
      </c>
      <c r="H116" t="str">
        <f>"173,00 EUR"</f>
        <v>173,00 EUR</v>
      </c>
    </row>
    <row r="117" spans="1:8" x14ac:dyDescent="0.25">
      <c r="A117" t="str">
        <f>"ZED26736CE"</f>
        <v>ZED26736CE</v>
      </c>
      <c r="B117" t="str">
        <f t="shared" si="9"/>
        <v>Napoli Servizi S.p.A. - 07577090637</v>
      </c>
      <c r="C117" t="str">
        <f>"Canone Utilizzo Server per Sw Clock Collector"</f>
        <v>Canone Utilizzo Server per Sw Clock Collector</v>
      </c>
      <c r="D117" t="str">
        <f>"01-PROCEDURA APERTA"</f>
        <v>01-PROCEDURA APERTA</v>
      </c>
      <c r="E117" t="str">
        <f>"TempoTempo SAS - 04729700486"</f>
        <v>TempoTempo SAS - 04729700486</v>
      </c>
      <c r="F117" t="str">
        <f>"700,00 EUR"</f>
        <v>700,00 EUR</v>
      </c>
      <c r="G117" t="str">
        <f>"29/12/2018 - 28/12/2019"</f>
        <v>29/12/2018 - 28/12/2019</v>
      </c>
      <c r="H117" t="str">
        <f>"700,00 EUR"</f>
        <v>700,00 EUR</v>
      </c>
    </row>
    <row r="118" spans="1:8" x14ac:dyDescent="0.25">
      <c r="A118" t="str">
        <f>"ZF22616CB4"</f>
        <v>ZF22616CB4</v>
      </c>
      <c r="B118" t="str">
        <f t="shared" si="9"/>
        <v>Napoli Servizi S.p.A. - 07577090637</v>
      </c>
      <c r="C118" t="str">
        <f>"ODA 4640644 - Canone Symantec Backup Exec Veritas 2018"</f>
        <v>ODA 4640644 - Canone Symantec Backup Exec Veritas 2018</v>
      </c>
      <c r="D118" t="str">
        <f>"01-PROCEDURA APERTA"</f>
        <v>01-PROCEDURA APERTA</v>
      </c>
      <c r="E118" t="str">
        <f>"IDC SPA - 06873000639"</f>
        <v>IDC SPA - 06873000639</v>
      </c>
      <c r="F118" t="str">
        <f>"2.534,00 EUR"</f>
        <v>2.534,00 EUR</v>
      </c>
      <c r="G118" t="str">
        <f>"03/12/2018 - 02/12/2019"</f>
        <v>03/12/2018 - 02/12/2019</v>
      </c>
      <c r="H118" t="str">
        <f>"2.535,00 EUR"</f>
        <v>2.535,00 EUR</v>
      </c>
    </row>
    <row r="119" spans="1:8" x14ac:dyDescent="0.25">
      <c r="A119" t="str">
        <f>"ZF40664F56"</f>
        <v>ZF40664F56</v>
      </c>
      <c r="B119" t="str">
        <f t="shared" si="9"/>
        <v>Napoli Servizi S.p.A. - 07577090637</v>
      </c>
      <c r="C119" t="str">
        <f>"Noleggio stampanti Piazzolla Contratto"</f>
        <v>Noleggio stampanti Piazzolla Contratto</v>
      </c>
      <c r="D119" t="str">
        <f>"23-AFFIDAMENTO DIRETTO"</f>
        <v>23-AFFIDAMENTO DIRETTO</v>
      </c>
      <c r="E119" t="str">
        <f>"RICOH Italia Srl - 00748490158"</f>
        <v>RICOH Italia Srl - 00748490158</v>
      </c>
      <c r="F119" t="str">
        <f>"5.598,00 EUR"</f>
        <v>5.598,00 EUR</v>
      </c>
      <c r="G119" t="str">
        <f>"01/01/2018 - 30/06/2018"</f>
        <v>01/01/2018 - 30/06/2018</v>
      </c>
      <c r="H119" t="str">
        <f>"0,00 EUR"</f>
        <v>0,00 EUR</v>
      </c>
    </row>
    <row r="120" spans="1:8" x14ac:dyDescent="0.25">
      <c r="A120" t="str">
        <f>"ZF4251FCF9"</f>
        <v>ZF4251FCF9</v>
      </c>
      <c r="B120" t="str">
        <f t="shared" si="9"/>
        <v>Napoli Servizi S.p.A. - 07577090637</v>
      </c>
      <c r="C120" t="str">
        <f>"Manutenzione Attrezzature MAN_Verde"</f>
        <v>Manutenzione Attrezzature MAN_Verde</v>
      </c>
      <c r="D120" t="str">
        <f>"01-PROCEDURA APERTA"</f>
        <v>01-PROCEDURA APERTA</v>
      </c>
      <c r="E120" t="str">
        <f>"ARMANDO MOTOR SERVICE - 01443611213"</f>
        <v>ARMANDO MOTOR SERVICE - 01443611213</v>
      </c>
      <c r="F120" t="str">
        <f>"7.681,63 EUR"</f>
        <v>7.681,63 EUR</v>
      </c>
      <c r="G120" t="str">
        <f>"28/09/2018 - 31/12/2018"</f>
        <v>28/09/2018 - 31/12/2018</v>
      </c>
      <c r="H120" t="str">
        <f>"7.681,63 EUR"</f>
        <v>7.681,63 EUR</v>
      </c>
    </row>
    <row r="121" spans="1:8" x14ac:dyDescent="0.25">
      <c r="A121" t="str">
        <f>"ZF4252ED30"</f>
        <v>ZF4252ED30</v>
      </c>
      <c r="B121" t="str">
        <f t="shared" si="9"/>
        <v>Napoli Servizi S.p.A. - 07577090637</v>
      </c>
      <c r="C121" t="str">
        <f>"Manutenzione Attrezzature MAN_Verde"</f>
        <v>Manutenzione Attrezzature MAN_Verde</v>
      </c>
      <c r="D121" t="str">
        <f>"23-AFFIDAMENTO DIRETTO"</f>
        <v>23-AFFIDAMENTO DIRETTO</v>
      </c>
      <c r="E121" t="str">
        <f>"PALOMBA SERVICE di R. PALOMBA - 02875211217"</f>
        <v>PALOMBA SERVICE di R. PALOMBA - 02875211217</v>
      </c>
      <c r="F121" t="str">
        <f>"1.847,97 EUR"</f>
        <v>1.847,97 EUR</v>
      </c>
      <c r="G121" t="str">
        <f>"01/10/2018 - 31/10/2018"</f>
        <v>01/10/2018 - 31/10/2018</v>
      </c>
      <c r="H121" t="str">
        <f>"0,00 EUR"</f>
        <v>0,00 EUR</v>
      </c>
    </row>
    <row r="122" spans="1:8" x14ac:dyDescent="0.25">
      <c r="A122" t="str">
        <f>"ZF523F245B"</f>
        <v>ZF523F245B</v>
      </c>
      <c r="B122" t="str">
        <f t="shared" si="9"/>
        <v>Napoli Servizi S.p.A. - 07577090637</v>
      </c>
      <c r="C122" t="str">
        <f>"AFFIDAMENTO INCARICO PER ATTIVITA' PER INDAGINI DIAGNOSTICHE C/O GALLERIA PRINCIPE DI NAPOLI"</f>
        <v>AFFIDAMENTO INCARICO PER ATTIVITA' PER INDAGINI DIAGNOSTICHE C/O GALLERIA PRINCIPE DI NAPOLI</v>
      </c>
      <c r="D122" t="str">
        <f>"23-AFFIDAMENTO DIRETTO"</f>
        <v>23-AFFIDAMENTO DIRETTO</v>
      </c>
      <c r="E122" t="str">
        <f>"ISTEMI SAS - 04629350655"</f>
        <v>ISTEMI SAS - 04629350655</v>
      </c>
      <c r="F122" t="str">
        <f>"8.000,00 EUR"</f>
        <v>8.000,00 EUR</v>
      </c>
      <c r="G122" t="str">
        <f>"11/06/2018 - 30/06/2018"</f>
        <v>11/06/2018 - 30/06/2018</v>
      </c>
      <c r="H122" t="str">
        <f>"0,00 EUR"</f>
        <v>0,00 EUR</v>
      </c>
    </row>
    <row r="123" spans="1:8" x14ac:dyDescent="0.25">
      <c r="A123" t="str">
        <f>"ZF722D59A3"</f>
        <v>ZF722D59A3</v>
      </c>
      <c r="B123" t="str">
        <f t="shared" si="9"/>
        <v>Napoli Servizi S.p.A. - 07577090637</v>
      </c>
      <c r="C123" t="str">
        <f>"Canoni Fonia 2018"</f>
        <v>Canoni Fonia 2018</v>
      </c>
      <c r="D123" t="str">
        <f>"01-PROCEDURA APERTA"</f>
        <v>01-PROCEDURA APERTA</v>
      </c>
      <c r="E123" t="str">
        <f>"FASTWEB SPA - 12878470157"</f>
        <v>FASTWEB SPA - 12878470157</v>
      </c>
      <c r="F123" t="str">
        <f>"22.600,00 EUR"</f>
        <v>22.600,00 EUR</v>
      </c>
      <c r="G123" t="str">
        <f>"01/01/2018 - 31/12/2018"</f>
        <v>01/01/2018 - 31/12/2018</v>
      </c>
      <c r="H123" t="str">
        <f>"14.564,99 EUR"</f>
        <v>14.564,99 EUR</v>
      </c>
    </row>
    <row r="124" spans="1:8" x14ac:dyDescent="0.25">
      <c r="A124" t="str">
        <f>"ZF725F2B93"</f>
        <v>ZF725F2B93</v>
      </c>
      <c r="B124" t="str">
        <f t="shared" si="9"/>
        <v>Napoli Servizi S.p.A. - 07577090637</v>
      </c>
      <c r="C124" t="str">
        <f>"Autolavaggio Mezzi Societari"</f>
        <v>Autolavaggio Mezzi Societari</v>
      </c>
      <c r="D124" t="str">
        <f>"23-AFFIDAMENTO DIRETTO"</f>
        <v>23-AFFIDAMENTO DIRETTO</v>
      </c>
      <c r="E124" t="str">
        <f>"AUTOLAVAGGIO IAVARONE SRL - 07424841216"</f>
        <v>AUTOLAVAGGIO IAVARONE SRL - 07424841216</v>
      </c>
      <c r="F124" t="str">
        <f>"5.000,00 EUR"</f>
        <v>5.000,00 EUR</v>
      </c>
      <c r="G124" t="str">
        <f>"01/01/2018 - 30/06/2019"</f>
        <v>01/01/2018 - 30/06/2019</v>
      </c>
      <c r="H124" t="str">
        <f>"0,00 EUR"</f>
        <v>0,00 EUR</v>
      </c>
    </row>
    <row r="125" spans="1:8" x14ac:dyDescent="0.25">
      <c r="A125" t="str">
        <f>"ZF823F05CA"</f>
        <v>ZF823F05CA</v>
      </c>
      <c r="B125" t="str">
        <f t="shared" si="9"/>
        <v>Napoli Servizi S.p.A. - 07577090637</v>
      </c>
      <c r="C125" t="str">
        <f>"Acquisto Materiali Edili"</f>
        <v>Acquisto Materiali Edili</v>
      </c>
      <c r="D125" t="str">
        <f>"01-PROCEDURA APERTA"</f>
        <v>01-PROCEDURA APERTA</v>
      </c>
      <c r="E125" t="str">
        <f>"GALLO GIORGIO - 07614180631"</f>
        <v>GALLO GIORGIO - 07614180631</v>
      </c>
      <c r="F125" t="str">
        <f>"4.620,19 EUR"</f>
        <v>4.620,19 EUR</v>
      </c>
      <c r="G125" t="str">
        <f>"01/06/2018 - 30/09/2018"</f>
        <v>01/06/2018 - 30/09/2018</v>
      </c>
      <c r="H125" t="str">
        <f>"4.620,19 EUR"</f>
        <v>4.620,19 EUR</v>
      </c>
    </row>
    <row r="126" spans="1:8" x14ac:dyDescent="0.25">
      <c r="A126" t="str">
        <f>"ZFA2315C04"</f>
        <v>ZFA2315C04</v>
      </c>
      <c r="B126" t="str">
        <f t="shared" si="9"/>
        <v>Napoli Servizi S.p.A. - 07577090637</v>
      </c>
      <c r="C126" t="str">
        <f>"Servizio di Motorecapito"</f>
        <v>Servizio di Motorecapito</v>
      </c>
      <c r="D126" t="str">
        <f>"23-AFFIDAMENTO DIRETTO"</f>
        <v>23-AFFIDAMENTO DIRETTO</v>
      </c>
      <c r="E126" t="str">
        <f>"FAST POSTA di FLAVIA PANNIELLO - 06963811218"</f>
        <v>FAST POSTA di FLAVIA PANNIELLO - 06963811218</v>
      </c>
      <c r="F126" t="str">
        <f>"1.228,50 EUR"</f>
        <v>1.228,50 EUR</v>
      </c>
      <c r="G126" t="str">
        <f>"01/01/2018 - 31/12/2018"</f>
        <v>01/01/2018 - 31/12/2018</v>
      </c>
      <c r="H126" t="str">
        <f>"778,15 EUR"</f>
        <v>778,15 EUR</v>
      </c>
    </row>
    <row r="127" spans="1:8" x14ac:dyDescent="0.25">
      <c r="A127" t="str">
        <f>"Z192486A95"</f>
        <v>Z192486A95</v>
      </c>
      <c r="B127" t="str">
        <f t="shared" si="9"/>
        <v>Napoli Servizi S.p.A. - 07577090637</v>
      </c>
      <c r="C127" t="str">
        <f>"Acquisto Alimentatore HP J4839A per switch HP ProCurve gl/xl di centro stella con garanzia 3 anni"</f>
        <v>Acquisto Alimentatore HP J4839A per switch HP ProCurve gl/xl di centro stella con garanzia 3 anni</v>
      </c>
      <c r="D127" t="str">
        <f>"01-PROCEDURA APERTA"</f>
        <v>01-PROCEDURA APERTA</v>
      </c>
      <c r="E127" t="str">
        <f>"RDP TELECOMUNICAZIONI S.R.L. - 07542790634"</f>
        <v>RDP TELECOMUNICAZIONI S.R.L. - 07542790634</v>
      </c>
      <c r="F127" t="str">
        <f>"200,00 EUR"</f>
        <v>200,00 EUR</v>
      </c>
      <c r="G127" t="str">
        <f>"30/07/2018 - 30/07/2018"</f>
        <v>30/07/2018 - 30/07/2018</v>
      </c>
      <c r="H127" t="str">
        <f>"200,00 EUR"</f>
        <v>200,00 EUR</v>
      </c>
    </row>
    <row r="128" spans="1:8" x14ac:dyDescent="0.25">
      <c r="A128" t="str">
        <f>"Z23226EB28"</f>
        <v>Z23226EB28</v>
      </c>
      <c r="B128" t="str">
        <f t="shared" si="9"/>
        <v>Napoli Servizi S.p.A. - 07577090637</v>
      </c>
      <c r="C128" t="str">
        <f>"Acquisto Materiale Elettrico"</f>
        <v>Acquisto Materiale Elettrico</v>
      </c>
      <c r="D128" t="str">
        <f>"23-AFFIDAMENTO DIRETTO"</f>
        <v>23-AFFIDAMENTO DIRETTO</v>
      </c>
      <c r="E128" t="str">
        <f>"SONEPAR ITALIA - 00825330285"</f>
        <v>SONEPAR ITALIA - 00825330285</v>
      </c>
      <c r="F128" t="str">
        <f>"6.612,06 EUR"</f>
        <v>6.612,06 EUR</v>
      </c>
      <c r="G128" t="str">
        <f>"21/02/2018 - 30/09/2018"</f>
        <v>21/02/2018 - 30/09/2018</v>
      </c>
      <c r="H128" t="str">
        <f>"967,63 EUR"</f>
        <v>967,63 EUR</v>
      </c>
    </row>
    <row r="129" spans="1:8" x14ac:dyDescent="0.25">
      <c r="A129" t="str">
        <f>"Z23249A8FD"</f>
        <v>Z23249A8FD</v>
      </c>
      <c r="B129" t="str">
        <f t="shared" si="9"/>
        <v>Napoli Servizi S.p.A. - 07577090637</v>
      </c>
      <c r="C129" t="str">
        <f>"Sottoletture e Rendicontazione consumi ERP"</f>
        <v>Sottoletture e Rendicontazione consumi ERP</v>
      </c>
      <c r="D129" t="str">
        <f>"01-PROCEDURA APERTA"</f>
        <v>01-PROCEDURA APERTA</v>
      </c>
      <c r="E129" t="str">
        <f>"IDROCOMPUTEX di PAOLO VALENTI - 01579090638"</f>
        <v>IDROCOMPUTEX di PAOLO VALENTI - 01579090638</v>
      </c>
      <c r="F129" t="str">
        <f>"10.000,00 EUR"</f>
        <v>10.000,00 EUR</v>
      </c>
      <c r="G129" t="str">
        <f>"01/07/2018 - 31/12/2018"</f>
        <v>01/07/2018 - 31/12/2018</v>
      </c>
      <c r="H129" t="str">
        <f>"14.999,98 EUR"</f>
        <v>14.999,98 EUR</v>
      </c>
    </row>
    <row r="130" spans="1:8" x14ac:dyDescent="0.25">
      <c r="A130" t="str">
        <f>"Z2622363F9"</f>
        <v>Z2622363F9</v>
      </c>
      <c r="B130" t="str">
        <f t="shared" si="9"/>
        <v>Napoli Servizi S.p.A. - 07577090637</v>
      </c>
      <c r="C130" t="str">
        <f>"ODA 4138776 - Legalmail"</f>
        <v>ODA 4138776 - Legalmail</v>
      </c>
      <c r="D130" t="str">
        <f>"23-AFFIDAMENTO DIRETTO"</f>
        <v>23-AFFIDAMENTO DIRETTO</v>
      </c>
      <c r="E130" t="str">
        <f>"INFOCERT S.P.A. - 07945211006"</f>
        <v>INFOCERT S.P.A. - 07945211006</v>
      </c>
      <c r="F130" t="str">
        <f>"138,00 EUR"</f>
        <v>138,00 EUR</v>
      </c>
      <c r="G130" t="str">
        <f>"05/03/2018 - 05/03/2019"</f>
        <v>05/03/2018 - 05/03/2019</v>
      </c>
      <c r="H130" t="str">
        <f>"138,00 EUR"</f>
        <v>138,00 EUR</v>
      </c>
    </row>
    <row r="131" spans="1:8" x14ac:dyDescent="0.25">
      <c r="A131" t="str">
        <f>"Z27262F515"</f>
        <v>Z27262F515</v>
      </c>
      <c r="B131" t="str">
        <f t="shared" ref="B131:B194" si="12">"Napoli Servizi S.p.A. - 07577090637"</f>
        <v>Napoli Servizi S.p.A. - 07577090637</v>
      </c>
      <c r="C131" t="str">
        <f>"Ticket WELFARE - Commissioni"</f>
        <v>Ticket WELFARE - Commissioni</v>
      </c>
      <c r="D131" t="str">
        <f>"23-AFFIDAMENTO DIRETTO"</f>
        <v>23-AFFIDAMENTO DIRETTO</v>
      </c>
      <c r="E131" t="str">
        <f>"EDENRED ITALIA Srl - 09429840151"</f>
        <v>EDENRED ITALIA Srl - 09429840151</v>
      </c>
      <c r="F131" t="str">
        <f>"306,33 EUR"</f>
        <v>306,33 EUR</v>
      </c>
      <c r="G131" t="str">
        <f>"07/12/2018 - 07/12/2018"</f>
        <v>07/12/2018 - 07/12/2018</v>
      </c>
      <c r="H131" t="str">
        <f>"0,00 EUR"</f>
        <v>0,00 EUR</v>
      </c>
    </row>
    <row r="132" spans="1:8" x14ac:dyDescent="0.25">
      <c r="A132" t="str">
        <f>"Z282540B68"</f>
        <v>Z282540B68</v>
      </c>
      <c r="B132" t="str">
        <f t="shared" si="12"/>
        <v>Napoli Servizi S.p.A. - 07577090637</v>
      </c>
      <c r="C132" t="str">
        <f>"ODA 4519138 - Legalmail"</f>
        <v>ODA 4519138 - Legalmail</v>
      </c>
      <c r="D132" t="str">
        <f>"01-PROCEDURA APERTA"</f>
        <v>01-PROCEDURA APERTA</v>
      </c>
      <c r="E132" t="str">
        <f>"INFOCERT S.P.A. - 07945211006"</f>
        <v>INFOCERT S.P.A. - 07945211006</v>
      </c>
      <c r="F132" t="str">
        <f>"181,00 EUR"</f>
        <v>181,00 EUR</v>
      </c>
      <c r="G132" t="str">
        <f>"28/11/2018 - 27/11/2019"</f>
        <v>28/11/2018 - 27/11/2019</v>
      </c>
      <c r="H132" t="str">
        <f>"181,00 EUR"</f>
        <v>181,00 EUR</v>
      </c>
    </row>
    <row r="133" spans="1:8" x14ac:dyDescent="0.25">
      <c r="A133" t="str">
        <f>"Z2E23611EA"</f>
        <v>Z2E23611EA</v>
      </c>
      <c r="B133" t="str">
        <f t="shared" si="12"/>
        <v>Napoli Servizi S.p.A. - 07577090637</v>
      </c>
      <c r="C133" t="str">
        <f>"ATTIVITA' DI MONITORAGGIO STRUTTURALE SU IMMOBILE SITO IN NAPOLI - VILLA DE LUCA - VIA NUOVA SAN ROCCO, 68"</f>
        <v>ATTIVITA' DI MONITORAGGIO STRUTTURALE SU IMMOBILE SITO IN NAPOLI - VILLA DE LUCA - VIA NUOVA SAN ROCCO, 68</v>
      </c>
      <c r="D133" t="str">
        <f>"23-AFFIDAMENTO DIRETTO"</f>
        <v>23-AFFIDAMENTO DIRETTO</v>
      </c>
      <c r="E133" t="str">
        <f>"ISTEMI SAS - 04629350655"</f>
        <v>ISTEMI SAS - 04629350655</v>
      </c>
      <c r="F133" t="str">
        <f>"3.000,00 EUR"</f>
        <v>3.000,00 EUR</v>
      </c>
      <c r="G133" t="str">
        <f>"01/05/2018 - 30/06/2018"</f>
        <v>01/05/2018 - 30/06/2018</v>
      </c>
      <c r="H133" t="str">
        <f>"0,00 EUR"</f>
        <v>0,00 EUR</v>
      </c>
    </row>
    <row r="134" spans="1:8" x14ac:dyDescent="0.25">
      <c r="A134" t="str">
        <f>"Z2F2507A84"</f>
        <v>Z2F2507A84</v>
      </c>
      <c r="B134" t="str">
        <f t="shared" si="12"/>
        <v>Napoli Servizi S.p.A. - 07577090637</v>
      </c>
      <c r="C134" t="str">
        <f>"Noleggio Imbustatrice"</f>
        <v>Noleggio Imbustatrice</v>
      </c>
      <c r="D134" t="str">
        <f>"23-AFFIDAMENTO DIRETTO"</f>
        <v>23-AFFIDAMENTO DIRETTO</v>
      </c>
      <c r="E134" t="str">
        <f>"PITNEY BOWES NOLEGGI - 09346150155"</f>
        <v>PITNEY BOWES NOLEGGI - 09346150155</v>
      </c>
      <c r="F134" t="str">
        <f>"2.700,00 EUR"</f>
        <v>2.700,00 EUR</v>
      </c>
      <c r="G134" t="str">
        <f>"01/01/2018 - 31/12/2018"</f>
        <v>01/01/2018 - 31/12/2018</v>
      </c>
      <c r="H134" t="str">
        <f>"2.700,00 EUR"</f>
        <v>2.700,00 EUR</v>
      </c>
    </row>
    <row r="135" spans="1:8" x14ac:dyDescent="0.25">
      <c r="A135" t="str">
        <f>"Z3121D724F"</f>
        <v>Z3121D724F</v>
      </c>
      <c r="B135" t="str">
        <f t="shared" si="12"/>
        <v>Napoli Servizi S.p.A. - 07577090637</v>
      </c>
      <c r="C135" t="str">
        <f>"Acquisto Asfaldo a CALDO"</f>
        <v>Acquisto Asfaldo a CALDO</v>
      </c>
      <c r="D135" t="str">
        <f>"01-PROCEDURA APERTA"</f>
        <v>01-PROCEDURA APERTA</v>
      </c>
      <c r="E135" t="str">
        <f>"TECNO BETON SRL - 03741160638"</f>
        <v>TECNO BETON SRL - 03741160638</v>
      </c>
      <c r="F135" t="str">
        <f>"40.000,00 EUR"</f>
        <v>40.000,00 EUR</v>
      </c>
      <c r="G135" t="str">
        <f>"01/01/2018 - 30/06/2019"</f>
        <v>01/01/2018 - 30/06/2019</v>
      </c>
      <c r="H135" t="str">
        <f>"40.415,72 EUR"</f>
        <v>40.415,72 EUR</v>
      </c>
    </row>
    <row r="136" spans="1:8" x14ac:dyDescent="0.25">
      <c r="A136" t="str">
        <f>"Z322673959"</f>
        <v>Z322673959</v>
      </c>
      <c r="B136" t="str">
        <f t="shared" si="12"/>
        <v>Napoli Servizi S.p.A. - 07577090637</v>
      </c>
      <c r="C136" t="str">
        <f>"ODA 4686670 - Canone Archiviazione digitale Ef.Net 2019"</f>
        <v>ODA 4686670 - Canone Archiviazione digitale Ef.Net 2019</v>
      </c>
      <c r="D136" t="str">
        <f>"01-PROCEDURA APERTA"</f>
        <v>01-PROCEDURA APERTA</v>
      </c>
      <c r="E136" t="str">
        <f>"ECCOFACTO SRLS - 12755991002"</f>
        <v>ECCOFACTO SRLS - 12755991002</v>
      </c>
      <c r="F136" t="str">
        <f>"1.298,00 EUR"</f>
        <v>1.298,00 EUR</v>
      </c>
      <c r="G136" t="str">
        <f>"01/01/2018 - 31/12/2019"</f>
        <v>01/01/2018 - 31/12/2019</v>
      </c>
      <c r="H136" t="str">
        <f>"1.298,00 EUR"</f>
        <v>1.298,00 EUR</v>
      </c>
    </row>
    <row r="137" spans="1:8" x14ac:dyDescent="0.25">
      <c r="A137" t="str">
        <f>"Z3322F9172"</f>
        <v>Z3322F9172</v>
      </c>
      <c r="B137" t="str">
        <f t="shared" si="12"/>
        <v>Napoli Servizi S.p.A. - 07577090637</v>
      </c>
      <c r="C137" t="str">
        <f>"Acquisto Materiali Affissioni &amp; Pubblicità"</f>
        <v>Acquisto Materiali Affissioni &amp; Pubblicità</v>
      </c>
      <c r="D137" t="str">
        <f>"23-AFFIDAMENTO DIRETTO"</f>
        <v>23-AFFIDAMENTO DIRETTO</v>
      </c>
      <c r="E137" t="str">
        <f>"LOMBARDI NICOLA - 07412320157"</f>
        <v>LOMBARDI NICOLA - 07412320157</v>
      </c>
      <c r="F137" t="str">
        <f>"3.166,90 EUR"</f>
        <v>3.166,90 EUR</v>
      </c>
      <c r="G137" t="str">
        <f>"26/03/2018 - 30/06/2018"</f>
        <v>26/03/2018 - 30/06/2018</v>
      </c>
      <c r="H137" t="str">
        <f>"3.166,90 EUR"</f>
        <v>3.166,90 EUR</v>
      </c>
    </row>
    <row r="138" spans="1:8" x14ac:dyDescent="0.25">
      <c r="A138" t="str">
        <f>"Z3E1C74C35"</f>
        <v>Z3E1C74C35</v>
      </c>
      <c r="B138" t="str">
        <f t="shared" si="12"/>
        <v>Napoli Servizi S.p.A. - 07577090637</v>
      </c>
      <c r="C138" t="str">
        <f>"Incarico tecnico professionale per i servizi di \'Supporto alla progettazione esecutiva per lavori di manutenzione straordinaria impianti sportivi\' AUTORIZZAZIONE ALLA FATTURAZIONE - imponibile 1300,00."</f>
        <v>Incarico tecnico professionale per i servizi di \'Supporto alla progettazione esecutiva per lavori di manutenzione straordinaria impianti sportivi\' AUTORIZZAZIONE ALLA FATTURAZIONE - imponibile 1300,00.</v>
      </c>
      <c r="D138" t="str">
        <f>"01-PROCEDURA APERTA"</f>
        <v>01-PROCEDURA APERTA</v>
      </c>
      <c r="E138" t="str">
        <f>"IAQUINTO ING.GIUSEPPE - 07590480633"</f>
        <v>IAQUINTO ING.GIUSEPPE - 07590480633</v>
      </c>
      <c r="F138" t="str">
        <f>"1.300,00 EUR"</f>
        <v>1.300,00 EUR</v>
      </c>
      <c r="G138" t="str">
        <f>"07/12/2018 - 07/12/2018"</f>
        <v>07/12/2018 - 07/12/2018</v>
      </c>
      <c r="H138" t="str">
        <f>"1.338,38 EUR"</f>
        <v>1.338,38 EUR</v>
      </c>
    </row>
    <row r="139" spans="1:8" x14ac:dyDescent="0.25">
      <c r="A139" t="str">
        <f>"Z4A2371280"</f>
        <v>Z4A2371280</v>
      </c>
      <c r="B139" t="str">
        <f t="shared" si="12"/>
        <v>Napoli Servizi S.p.A. - 07577090637</v>
      </c>
      <c r="C139" t="str">
        <f>"ODA 4285960 - Sito Istituzionale"</f>
        <v>ODA 4285960 - Sito Istituzionale</v>
      </c>
      <c r="D139" t="str">
        <f>"23-AFFIDAMENTO DIRETTO"</f>
        <v>23-AFFIDAMENTO DIRETTO</v>
      </c>
      <c r="E139" t="str">
        <f>"MEDIACONSULT SRL - 07189200723"</f>
        <v>MEDIACONSULT SRL - 07189200723</v>
      </c>
      <c r="F139" t="str">
        <f>"2.600,00 EUR"</f>
        <v>2.600,00 EUR</v>
      </c>
      <c r="G139" t="str">
        <f>"01/01/2018 - 31/12/2018"</f>
        <v>01/01/2018 - 31/12/2018</v>
      </c>
      <c r="H139" t="str">
        <f>"2.600,00 EUR"</f>
        <v>2.600,00 EUR</v>
      </c>
    </row>
    <row r="140" spans="1:8" x14ac:dyDescent="0.25">
      <c r="A140" t="str">
        <f>"Z4F261BD4A"</f>
        <v>Z4F261BD4A</v>
      </c>
      <c r="B140" t="str">
        <f t="shared" si="12"/>
        <v>Napoli Servizi S.p.A. - 07577090637</v>
      </c>
      <c r="C140" t="str">
        <f>"Manutenzione Cestello Elevatore"</f>
        <v>Manutenzione Cestello Elevatore</v>
      </c>
      <c r="D140" t="str">
        <f>"01-PROCEDURA APERTA"</f>
        <v>01-PROCEDURA APERTA</v>
      </c>
      <c r="E140" t="str">
        <f>"SOL GRU MARTELLI &amp; C. - 01428361214"</f>
        <v>SOL GRU MARTELLI &amp; C. - 01428361214</v>
      </c>
      <c r="F140" t="str">
        <f>"1.000,00 EUR"</f>
        <v>1.000,00 EUR</v>
      </c>
      <c r="G140" t="str">
        <f>"04/12/2018 - 04/12/2018"</f>
        <v>04/12/2018 - 04/12/2018</v>
      </c>
      <c r="H140" t="str">
        <f>"1.000,00 EUR"</f>
        <v>1.000,00 EUR</v>
      </c>
    </row>
    <row r="141" spans="1:8" x14ac:dyDescent="0.25">
      <c r="A141" t="str">
        <f>"Z5924C7A76"</f>
        <v>Z5924C7A76</v>
      </c>
      <c r="B141" t="str">
        <f t="shared" si="12"/>
        <v>Napoli Servizi S.p.A. - 07577090637</v>
      </c>
      <c r="C141" t="str">
        <f>"Intervento in vIa Possillipo, 286 - NAPOLI"</f>
        <v>Intervento in vIa Possillipo, 286 - NAPOLI</v>
      </c>
      <c r="D141" t="str">
        <f>"23-AFFIDAMENTO DIRETTO"</f>
        <v>23-AFFIDAMENTO DIRETTO</v>
      </c>
      <c r="E141" t="str">
        <f>"SMG COSTRUZIONI SRL - 08488621213"</f>
        <v>SMG COSTRUZIONI SRL - 08488621213</v>
      </c>
      <c r="F141" t="str">
        <f>"11.252,73 EUR"</f>
        <v>11.252,73 EUR</v>
      </c>
      <c r="G141" t="str">
        <f>"03/09/2018 - 01/10/2018"</f>
        <v>03/09/2018 - 01/10/2018</v>
      </c>
      <c r="H141" t="str">
        <f>"0,00 EUR"</f>
        <v>0,00 EUR</v>
      </c>
    </row>
    <row r="142" spans="1:8" x14ac:dyDescent="0.25">
      <c r="A142" t="str">
        <f>"Z5925F2C21"</f>
        <v>Z5925F2C21</v>
      </c>
      <c r="B142" t="str">
        <f t="shared" si="12"/>
        <v>Napoli Servizi S.p.A. - 07577090637</v>
      </c>
      <c r="C142" t="str">
        <f>"Riparazioni Gomme"</f>
        <v>Riparazioni Gomme</v>
      </c>
      <c r="D142" t="str">
        <f>"01-PROCEDURA APERTA"</f>
        <v>01-PROCEDURA APERTA</v>
      </c>
      <c r="E142" t="str">
        <f>"IMPERO DELLE GOMME SRLS - 08041621213"</f>
        <v>IMPERO DELLE GOMME SRLS - 08041621213</v>
      </c>
      <c r="F142" t="str">
        <f>"10.000,00 EUR"</f>
        <v>10.000,00 EUR</v>
      </c>
      <c r="G142" t="str">
        <f>"01/07/2018 - 30/06/2019"</f>
        <v>01/07/2018 - 30/06/2019</v>
      </c>
      <c r="H142" t="str">
        <f>"4.780,59 EUR"</f>
        <v>4.780,59 EUR</v>
      </c>
    </row>
    <row r="143" spans="1:8" x14ac:dyDescent="0.25">
      <c r="A143" t="str">
        <f>"Z5D2394B64"</f>
        <v>Z5D2394B64</v>
      </c>
      <c r="B143" t="str">
        <f t="shared" si="12"/>
        <v>Napoli Servizi S.p.A. - 07577090637</v>
      </c>
      <c r="C143" t="str">
        <f>"Assistenza Connect e dispositivi RP"</f>
        <v>Assistenza Connect e dispositivi RP</v>
      </c>
      <c r="D143" t="str">
        <f>"23-AFFIDAMENTO DIRETTO"</f>
        <v>23-AFFIDAMENTO DIRETTO</v>
      </c>
      <c r="E143" t="str">
        <f>"TempoTempo SAS - 04729700486"</f>
        <v>TempoTempo SAS - 04729700486</v>
      </c>
      <c r="F143" t="str">
        <f>"668,82 EUR"</f>
        <v>668,82 EUR</v>
      </c>
      <c r="G143" t="str">
        <f>"15/05/2018 - 15/05/2018"</f>
        <v>15/05/2018 - 15/05/2018</v>
      </c>
      <c r="H143" t="str">
        <f>"668,82 EUR"</f>
        <v>668,82 EUR</v>
      </c>
    </row>
    <row r="144" spans="1:8" x14ac:dyDescent="0.25">
      <c r="A144" t="str">
        <f>"Z5F229DF95"</f>
        <v>Z5F229DF95</v>
      </c>
      <c r="B144" t="str">
        <f t="shared" si="12"/>
        <v>Napoli Servizi S.p.A. - 07577090637</v>
      </c>
      <c r="C144" t="str">
        <f>"TD-416196 - Web Hosting - Register.it Pack Hosting Premium Windows 2018"</f>
        <v>TD-416196 - Web Hosting - Register.it Pack Hosting Premium Windows 2018</v>
      </c>
      <c r="D144" t="str">
        <f>"23-AFFIDAMENTO DIRETTO"</f>
        <v>23-AFFIDAMENTO DIRETTO</v>
      </c>
      <c r="E144" t="str">
        <f>"REGISTER.IT - 02826010163"</f>
        <v>REGISTER.IT - 02826010163</v>
      </c>
      <c r="F144" t="str">
        <f>"120,00 EUR"</f>
        <v>120,00 EUR</v>
      </c>
      <c r="G144" t="str">
        <f>"13/03/2018 - 12/03/2019"</f>
        <v>13/03/2018 - 12/03/2019</v>
      </c>
      <c r="H144" t="str">
        <f>"120,00 EUR"</f>
        <v>120,00 EUR</v>
      </c>
    </row>
    <row r="145" spans="1:8" x14ac:dyDescent="0.25">
      <c r="A145" t="str">
        <f>"Z6524FE941"</f>
        <v>Z6524FE941</v>
      </c>
      <c r="B145" t="str">
        <f t="shared" si="12"/>
        <v>Napoli Servizi S.p.A. - 07577090637</v>
      </c>
      <c r="C145" t="str">
        <f>"Acquisto Materiali Edili"</f>
        <v>Acquisto Materiali Edili</v>
      </c>
      <c r="D145" t="str">
        <f>"01-PROCEDURA APERTA"</f>
        <v>01-PROCEDURA APERTA</v>
      </c>
      <c r="E145" t="str">
        <f>"GALLO GIORGIO - 07614180631"</f>
        <v>GALLO GIORGIO - 07614180631</v>
      </c>
      <c r="F145" t="str">
        <f>"3.795,52 EUR"</f>
        <v>3.795,52 EUR</v>
      </c>
      <c r="G145" t="str">
        <f>"01/09/2018 - 31/10/2018"</f>
        <v>01/09/2018 - 31/10/2018</v>
      </c>
      <c r="H145" t="str">
        <f>"3.706,17 EUR"</f>
        <v>3.706,17 EUR</v>
      </c>
    </row>
    <row r="146" spans="1:8" x14ac:dyDescent="0.25">
      <c r="A146" t="str">
        <f>"Z67219A588"</f>
        <v>Z67219A588</v>
      </c>
      <c r="B146" t="str">
        <f t="shared" si="12"/>
        <v>Napoli Servizi S.p.A. - 07577090637</v>
      </c>
      <c r="C146" t="str">
        <f>"Manutenzione Attr_VERDE"</f>
        <v>Manutenzione Attr_VERDE</v>
      </c>
      <c r="D146" t="str">
        <f>"23-AFFIDAMENTO DIRETTO"</f>
        <v>23-AFFIDAMENTO DIRETTO</v>
      </c>
      <c r="E146" t="str">
        <f>"PALOMBA SERVICE di R. PALOMBA - 02875211217"</f>
        <v>PALOMBA SERVICE di R. PALOMBA - 02875211217</v>
      </c>
      <c r="F146" t="str">
        <f>"4.139,64 EUR"</f>
        <v>4.139,64 EUR</v>
      </c>
      <c r="G146" t="str">
        <f>"01/01/2018 - 30/06/2018"</f>
        <v>01/01/2018 - 30/06/2018</v>
      </c>
      <c r="H146" t="str">
        <f>"0,00 EUR"</f>
        <v>0,00 EUR</v>
      </c>
    </row>
    <row r="147" spans="1:8" x14ac:dyDescent="0.25">
      <c r="A147" t="str">
        <f>"Z6823A8239"</f>
        <v>Z6823A8239</v>
      </c>
      <c r="B147" t="str">
        <f t="shared" si="12"/>
        <v>Napoli Servizi S.p.A. - 07577090637</v>
      </c>
      <c r="C147" t="str">
        <f>"Formazione del Personale Formazione /informazione obbligatoria ai sensi del regolamento Europeo 2016/679"</f>
        <v>Formazione del Personale Formazione /informazione obbligatoria ai sensi del regolamento Europeo 2016/679</v>
      </c>
      <c r="D147" t="str">
        <f>"01-PROCEDURA APERTA"</f>
        <v>01-PROCEDURA APERTA</v>
      </c>
      <c r="E147" t="str">
        <f>"E.I.T.D. (EX FOSVI SOC CONSORTILE) - 06763460638"</f>
        <v>E.I.T.D. (EX FOSVI SOC CONSORTILE) - 06763460638</v>
      </c>
      <c r="F147" t="str">
        <f>"2.400,00 EUR"</f>
        <v>2.400,00 EUR</v>
      </c>
      <c r="G147" t="str">
        <f>"05/06/2018 - 05/06/2018"</f>
        <v>05/06/2018 - 05/06/2018</v>
      </c>
      <c r="H147" t="str">
        <f>"2.400,00 EUR"</f>
        <v>2.400,00 EUR</v>
      </c>
    </row>
    <row r="148" spans="1:8" x14ac:dyDescent="0.25">
      <c r="A148" t="str">
        <f>"Z6924FE95A"</f>
        <v>Z6924FE95A</v>
      </c>
      <c r="B148" t="str">
        <f t="shared" si="12"/>
        <v>Napoli Servizi S.p.A. - 07577090637</v>
      </c>
      <c r="C148" t="str">
        <f>"Acquisto Materiale Elettrico"</f>
        <v>Acquisto Materiale Elettrico</v>
      </c>
      <c r="D148" t="str">
        <f>"01-PROCEDURA APERTA"</f>
        <v>01-PROCEDURA APERTA</v>
      </c>
      <c r="E148" t="str">
        <f>"SONEPAR ITALIA - 00825330285"</f>
        <v>SONEPAR ITALIA - 00825330285</v>
      </c>
      <c r="F148" t="str">
        <f>"1.840,95 EUR"</f>
        <v>1.840,95 EUR</v>
      </c>
      <c r="G148" t="str">
        <f>"01/09/2018 - 01/10/2018"</f>
        <v>01/09/2018 - 01/10/2018</v>
      </c>
      <c r="H148" t="str">
        <f>"1.840,95 EUR"</f>
        <v>1.840,95 EUR</v>
      </c>
    </row>
    <row r="149" spans="1:8" x14ac:dyDescent="0.25">
      <c r="A149" t="str">
        <f>"Z6D23A76D3"</f>
        <v>Z6D23A76D3</v>
      </c>
      <c r="B149" t="str">
        <f t="shared" si="12"/>
        <v>Napoli Servizi S.p.A. - 07577090637</v>
      </c>
      <c r="C149" t="str">
        <f>"Acquisto Tombini e Caditoie"</f>
        <v>Acquisto Tombini e Caditoie</v>
      </c>
      <c r="D149" t="str">
        <f>"01-PROCEDURA APERTA"</f>
        <v>01-PROCEDURA APERTA</v>
      </c>
      <c r="E149" t="str">
        <f>"BELLAROSA GIOVANNI - 06276460638"</f>
        <v>BELLAROSA GIOVANNI - 06276460638</v>
      </c>
      <c r="F149" t="str">
        <f>"2.677,31 EUR"</f>
        <v>2.677,31 EUR</v>
      </c>
      <c r="G149" t="str">
        <f>"22/05/2018 - 30/11/2018"</f>
        <v>22/05/2018 - 30/11/2018</v>
      </c>
      <c r="H149" t="str">
        <f>"26.180,00 EUR"</f>
        <v>26.180,00 EUR</v>
      </c>
    </row>
    <row r="150" spans="1:8" x14ac:dyDescent="0.25">
      <c r="A150" t="str">
        <f>"Z6F24494C8"</f>
        <v>Z6F24494C8</v>
      </c>
      <c r="B150" t="str">
        <f t="shared" si="12"/>
        <v>Napoli Servizi S.p.A. - 07577090637</v>
      </c>
      <c r="C150" t="str">
        <f>"ODA 4393473 - Web Hosting - Register.it rinnovo dominio napoliservizi.it"</f>
        <v>ODA 4393473 - Web Hosting - Register.it rinnovo dominio napoliservizi.it</v>
      </c>
      <c r="D150" t="str">
        <f>"01-PROCEDURA APERTA"</f>
        <v>01-PROCEDURA APERTA</v>
      </c>
      <c r="E150" t="str">
        <f>"REGISTER.IT - 02826010163"</f>
        <v>REGISTER.IT - 02826010163</v>
      </c>
      <c r="F150" t="str">
        <f>"77,00 EUR"</f>
        <v>77,00 EUR</v>
      </c>
      <c r="G150" t="str">
        <f>"31/07/2018 - 21/07/2019"</f>
        <v>31/07/2018 - 21/07/2019</v>
      </c>
      <c r="H150" t="str">
        <f>"77,00 EUR"</f>
        <v>77,00 EUR</v>
      </c>
    </row>
    <row r="151" spans="1:8" x14ac:dyDescent="0.25">
      <c r="A151" t="str">
        <f>"Z6F2501FEA"</f>
        <v>Z6F2501FEA</v>
      </c>
      <c r="B151" t="str">
        <f t="shared" si="12"/>
        <v>Napoli Servizi S.p.A. - 07577090637</v>
      </c>
      <c r="C151" t="str">
        <f>"Acquisto Materiali Affissioni &amp; Pubblicità"</f>
        <v>Acquisto Materiali Affissioni &amp; Pubblicità</v>
      </c>
      <c r="D151" t="str">
        <f>"01-PROCEDURA APERTA"</f>
        <v>01-PROCEDURA APERTA</v>
      </c>
      <c r="E151" t="str">
        <f>"LOMBARDI NICOLA - 07412320157"</f>
        <v>LOMBARDI NICOLA - 07412320157</v>
      </c>
      <c r="F151" t="str">
        <f>"1.694,80 EUR"</f>
        <v>1.694,80 EUR</v>
      </c>
      <c r="G151" t="str">
        <f>"20/09/2018 - 20/09/2018"</f>
        <v>20/09/2018 - 20/09/2018</v>
      </c>
      <c r="H151" t="str">
        <f>"1.694,80 EUR"</f>
        <v>1.694,80 EUR</v>
      </c>
    </row>
    <row r="152" spans="1:8" x14ac:dyDescent="0.25">
      <c r="A152" t="str">
        <f>"Z7325B3B5F"</f>
        <v>Z7325B3B5F</v>
      </c>
      <c r="B152" t="str">
        <f t="shared" si="12"/>
        <v>Napoli Servizi S.p.A. - 07577090637</v>
      </c>
      <c r="C152" t="str">
        <f>"Acquisto GENERATORE DI VAPORE - POLTI CIMEX ERADICATOR COMPLETO DI ACCESSORI"</f>
        <v>Acquisto GENERATORE DI VAPORE - POLTI CIMEX ERADICATOR COMPLETO DI ACCESSORI</v>
      </c>
      <c r="D152" t="str">
        <f>"23-AFFIDAMENTO DIRETTO"</f>
        <v>23-AFFIDAMENTO DIRETTO</v>
      </c>
      <c r="E152" t="str">
        <f>"CLINTEX - 03487251211"</f>
        <v>CLINTEX - 03487251211</v>
      </c>
      <c r="F152" t="str">
        <f>"623,20 EUR"</f>
        <v>623,20 EUR</v>
      </c>
      <c r="G152" t="str">
        <f>"12/11/2018 - 12/11/2018"</f>
        <v>12/11/2018 - 12/11/2018</v>
      </c>
      <c r="H152" t="str">
        <f>"0,00 EUR"</f>
        <v>0,00 EUR</v>
      </c>
    </row>
    <row r="153" spans="1:8" x14ac:dyDescent="0.25">
      <c r="A153" t="str">
        <f>"Z7525B321B"</f>
        <v>Z7525B321B</v>
      </c>
      <c r="B153" t="str">
        <f t="shared" si="12"/>
        <v>Napoli Servizi S.p.A. - 07577090637</v>
      </c>
      <c r="C153" t="str">
        <f>"Manutenzione Autocarri TELAIO IVECO"</f>
        <v>Manutenzione Autocarri TELAIO IVECO</v>
      </c>
      <c r="D153" t="str">
        <f>"08-AFFIDAMENTO IN ECONOMIA - COTTIMO FIDUCIARIO"</f>
        <v>08-AFFIDAMENTO IN ECONOMIA - COTTIMO FIDUCIARIO</v>
      </c>
      <c r="E153" t="str">
        <f>"MARINO CAR SERVICE SRL - 01673150619"</f>
        <v>MARINO CAR SERVICE SRL - 01673150619</v>
      </c>
      <c r="F153" t="str">
        <f>"40.000,00 EUR"</f>
        <v>40.000,00 EUR</v>
      </c>
      <c r="G153" t="str">
        <f>"07/11/2018 - 30/06/2019"</f>
        <v>07/11/2018 - 30/06/2019</v>
      </c>
      <c r="H153" t="str">
        <f>"8.621,96 EUR"</f>
        <v>8.621,96 EUR</v>
      </c>
    </row>
    <row r="154" spans="1:8" x14ac:dyDescent="0.25">
      <c r="A154" t="str">
        <f>"Z79232FB48"</f>
        <v>Z79232FB48</v>
      </c>
      <c r="B154" t="str">
        <f t="shared" si="12"/>
        <v>Napoli Servizi S.p.A. - 07577090637</v>
      </c>
      <c r="C154" t="str">
        <f>"Trasferimento Impianti Affissionale"</f>
        <v>Trasferimento Impianti Affissionale</v>
      </c>
      <c r="D154" t="str">
        <f>"08-AFFIDAMENTO IN ECONOMIA - COTTIMO FIDUCIARIO"</f>
        <v>08-AFFIDAMENTO IN ECONOMIA - COTTIMO FIDUCIARIO</v>
      </c>
      <c r="E154" t="str">
        <f>"Mary Immobiliare SAS - 06290301214"</f>
        <v>Mary Immobiliare SAS - 06290301214</v>
      </c>
      <c r="F154" t="str">
        <f>"28.800,00 EUR"</f>
        <v>28.800,00 EUR</v>
      </c>
      <c r="G154" t="str">
        <f>"16/04/2018 - 30/06/2018"</f>
        <v>16/04/2018 - 30/06/2018</v>
      </c>
      <c r="H154" t="str">
        <f>"28.800,00 EUR"</f>
        <v>28.800,00 EUR</v>
      </c>
    </row>
    <row r="155" spans="1:8" x14ac:dyDescent="0.25">
      <c r="A155" t="str">
        <f>"Z7924C7C39"</f>
        <v>Z7924C7C39</v>
      </c>
      <c r="B155" t="str">
        <f t="shared" si="12"/>
        <v>Napoli Servizi S.p.A. - 07577090637</v>
      </c>
      <c r="C155" t="str">
        <f>"ODA 4457324 - Implementazioni software - progettazione e sviluppo moduli per la gestione delle pratiche di CONDONO"</f>
        <v>ODA 4457324 - Implementazioni software - progettazione e sviluppo moduli per la gestione delle pratiche di CONDONO</v>
      </c>
      <c r="D155" t="str">
        <f>"23-AFFIDAMENTO DIRETTO"</f>
        <v>23-AFFIDAMENTO DIRETTO</v>
      </c>
      <c r="E155" t="str">
        <f>"ARTENSYS SRL - 06416641212"</f>
        <v>ARTENSYS SRL - 06416641212</v>
      </c>
      <c r="F155" t="str">
        <f>"11.475,00 EUR"</f>
        <v>11.475,00 EUR</v>
      </c>
      <c r="G155" t="str">
        <f>"04/09/2018 - 31/12/2018"</f>
        <v>04/09/2018 - 31/12/2018</v>
      </c>
      <c r="H155" t="str">
        <f>"0,00 EUR"</f>
        <v>0,00 EUR</v>
      </c>
    </row>
    <row r="156" spans="1:8" x14ac:dyDescent="0.25">
      <c r="A156" t="str">
        <f>"Z7B2334365"</f>
        <v>Z7B2334365</v>
      </c>
      <c r="B156" t="str">
        <f t="shared" si="12"/>
        <v>Napoli Servizi S.p.A. - 07577090637</v>
      </c>
      <c r="C156" t="str">
        <f>"Lavorazioni su VIA Orazio - Napoli"</f>
        <v>Lavorazioni su VIA Orazio - Napoli</v>
      </c>
      <c r="D156" t="str">
        <f>"01-PROCEDURA APERTA"</f>
        <v>01-PROCEDURA APERTA</v>
      </c>
      <c r="E156" t="str">
        <f>"SMG COSTRUZIONI SRL - 08488621213"</f>
        <v>SMG COSTRUZIONI SRL - 08488621213</v>
      </c>
      <c r="F156" t="str">
        <f>"10.171,78 EUR"</f>
        <v>10.171,78 EUR</v>
      </c>
      <c r="G156" t="str">
        <f>"16/04/2018 - 30/06/2018"</f>
        <v>16/04/2018 - 30/06/2018</v>
      </c>
      <c r="H156" t="str">
        <f>"10.171,78 EUR"</f>
        <v>10.171,78 EUR</v>
      </c>
    </row>
    <row r="157" spans="1:8" x14ac:dyDescent="0.25">
      <c r="A157" t="str">
        <f>"Z7C2346BC4"</f>
        <v>Z7C2346BC4</v>
      </c>
      <c r="B157" t="str">
        <f t="shared" si="12"/>
        <v>Napoli Servizi S.p.A. - 07577090637</v>
      </c>
      <c r="C157" t="str">
        <f>"Servizi Cloud Oracle - Universal Credits"</f>
        <v>Servizi Cloud Oracle - Universal Credits</v>
      </c>
      <c r="D157" t="str">
        <f>"01-PROCEDURA APERTA"</f>
        <v>01-PROCEDURA APERTA</v>
      </c>
      <c r="E157" t="str">
        <f>"ORACLE ITALIA SRL - 03189950961"</f>
        <v>ORACLE ITALIA SRL - 03189950961</v>
      </c>
      <c r="F157" t="str">
        <f>"10.428,00 EUR"</f>
        <v>10.428,00 EUR</v>
      </c>
      <c r="G157" t="str">
        <f>"13/05/2018 - 14/05/2019"</f>
        <v>13/05/2018 - 14/05/2019</v>
      </c>
      <c r="H157" t="str">
        <f>"10.428,00 EUR"</f>
        <v>10.428,00 EUR</v>
      </c>
    </row>
    <row r="158" spans="1:8" x14ac:dyDescent="0.25">
      <c r="A158" t="str">
        <f>"Z7F24FE966"</f>
        <v>Z7F24FE966</v>
      </c>
      <c r="B158" t="str">
        <f t="shared" si="12"/>
        <v>Napoli Servizi S.p.A. - 07577090637</v>
      </c>
      <c r="C158" t="str">
        <f>"Manutenzione Cestello Elevatore"</f>
        <v>Manutenzione Cestello Elevatore</v>
      </c>
      <c r="D158" t="str">
        <f>"01-PROCEDURA APERTA"</f>
        <v>01-PROCEDURA APERTA</v>
      </c>
      <c r="E158" t="str">
        <f>"SOL GRU MARTELLI &amp; C. - 01428361214"</f>
        <v>SOL GRU MARTELLI &amp; C. - 01428361214</v>
      </c>
      <c r="F158" t="str">
        <f>"751,15 EUR"</f>
        <v>751,15 EUR</v>
      </c>
      <c r="G158" t="str">
        <f>"01/09/2018 - 30/09/2018"</f>
        <v>01/09/2018 - 30/09/2018</v>
      </c>
      <c r="H158" t="str">
        <f>"863,65 EUR"</f>
        <v>863,65 EUR</v>
      </c>
    </row>
    <row r="159" spans="1:8" x14ac:dyDescent="0.25">
      <c r="A159" t="str">
        <f>"Z8025B3126"</f>
        <v>Z8025B3126</v>
      </c>
      <c r="B159" t="str">
        <f t="shared" si="12"/>
        <v>Napoli Servizi S.p.A. - 07577090637</v>
      </c>
      <c r="C159" t="str">
        <f>"Manutenzione Autocarri TELAIO PIAGGIO"</f>
        <v>Manutenzione Autocarri TELAIO PIAGGIO</v>
      </c>
      <c r="D159" t="str">
        <f>"08-AFFIDAMENTO IN ECONOMIA - COTTIMO FIDUCIARIO"</f>
        <v>08-AFFIDAMENTO IN ECONOMIA - COTTIMO FIDUCIARIO</v>
      </c>
      <c r="E159" t="str">
        <f>"CORECAR SAS - 05838721214"</f>
        <v>CORECAR SAS - 05838721214</v>
      </c>
      <c r="F159" t="str">
        <f>"40.000,00 EUR"</f>
        <v>40.000,00 EUR</v>
      </c>
      <c r="G159" t="str">
        <f>"07/11/2018 - 30/06/2019"</f>
        <v>07/11/2018 - 30/06/2019</v>
      </c>
      <c r="H159" t="str">
        <f>"13.023,83 EUR"</f>
        <v>13.023,83 EUR</v>
      </c>
    </row>
    <row r="160" spans="1:8" x14ac:dyDescent="0.25">
      <c r="A160" t="str">
        <f>"Z832511E58"</f>
        <v>Z832511E58</v>
      </c>
      <c r="B160" t="str">
        <f t="shared" si="12"/>
        <v>Napoli Servizi S.p.A. - 07577090637</v>
      </c>
      <c r="C160" t="str">
        <f>"Estensione di garanzia HW scanner Kodak i3400 – sn. 53237195 per il periodo 01/10/18 – 30/09/19"</f>
        <v>Estensione di garanzia HW scanner Kodak i3400 – sn. 53237195 per il periodo 01/10/18 – 30/09/19</v>
      </c>
      <c r="D160" t="str">
        <f>"01-PROCEDURA APERTA"</f>
        <v>01-PROCEDURA APERTA</v>
      </c>
      <c r="E160" t="str">
        <f>"ECCOFACTO SRLS - 12755991002"</f>
        <v>ECCOFACTO SRLS - 12755991002</v>
      </c>
      <c r="F160" t="str">
        <f>"2.283,71 EUR"</f>
        <v>2.283,71 EUR</v>
      </c>
      <c r="G160" t="str">
        <f>"01/10/2018 - 30/09/2019"</f>
        <v>01/10/2018 - 30/09/2019</v>
      </c>
      <c r="H160" t="str">
        <f>"985,71 EUR"</f>
        <v>985,71 EUR</v>
      </c>
    </row>
    <row r="161" spans="1:8" x14ac:dyDescent="0.25">
      <c r="A161" t="str">
        <f>"Z86219DBF8"</f>
        <v>Z86219DBF8</v>
      </c>
      <c r="B161" t="str">
        <f t="shared" si="12"/>
        <v>Napoli Servizi S.p.A. - 07577090637</v>
      </c>
      <c r="C161" t="str">
        <f>"RDO MePA 1834514 - Estensione di garanzia HW - Rinnovo carepack HP (server)"</f>
        <v>RDO MePA 1834514 - Estensione di garanzia HW - Rinnovo carepack HP (server)</v>
      </c>
      <c r="D161" t="str">
        <f>"07-SISTEMA DINAMICO DI ACQUISIZIONE"</f>
        <v>07-SISTEMA DINAMICO DI ACQUISIZIONE</v>
      </c>
      <c r="E161" t="str">
        <f>"DPS INFORMATICA S.N.C. - 01486330309"</f>
        <v>DPS INFORMATICA S.N.C. - 01486330309</v>
      </c>
      <c r="F161" t="str">
        <f>"3.483,00 EUR"</f>
        <v>3.483,00 EUR</v>
      </c>
      <c r="G161" t="str">
        <f>"09/01/2018 - 08/01/2019"</f>
        <v>09/01/2018 - 08/01/2019</v>
      </c>
      <c r="H161" t="str">
        <f>"3.483,00 EUR"</f>
        <v>3.483,00 EUR</v>
      </c>
    </row>
    <row r="162" spans="1:8" x14ac:dyDescent="0.25">
      <c r="A162" t="str">
        <f>"Z87220FEDA"</f>
        <v>Z87220FEDA</v>
      </c>
      <c r="B162" t="str">
        <f t="shared" si="12"/>
        <v>Napoli Servizi S.p.A. - 07577090637</v>
      </c>
      <c r="C162" t="str">
        <f>"Supporto tecnico per gli adempimenti obbligatori previsti dal Dlgs. 152/2006 s.m.i."</f>
        <v>Supporto tecnico per gli adempimenti obbligatori previsti dal Dlgs. 152/2006 s.m.i.</v>
      </c>
      <c r="D162" t="str">
        <f>"23-AFFIDAMENTO DIRETTO"</f>
        <v>23-AFFIDAMENTO DIRETTO</v>
      </c>
      <c r="E162" t="str">
        <f>"NATURALMENTE S.R.L. - 06981231217"</f>
        <v>NATURALMENTE S.R.L. - 06981231217</v>
      </c>
      <c r="F162" t="str">
        <f>"3.200,00 EUR"</f>
        <v>3.200,00 EUR</v>
      </c>
      <c r="G162" t="str">
        <f>"01/01/2018 - 30/06/2018"</f>
        <v>01/01/2018 - 30/06/2018</v>
      </c>
      <c r="H162" t="str">
        <f>"3.210,00 EUR"</f>
        <v>3.210,00 EUR</v>
      </c>
    </row>
    <row r="163" spans="1:8" x14ac:dyDescent="0.25">
      <c r="A163" t="str">
        <f>"Z88262492C"</f>
        <v>Z88262492C</v>
      </c>
      <c r="B163" t="str">
        <f t="shared" si="12"/>
        <v>Napoli Servizi S.p.A. - 07577090637</v>
      </c>
      <c r="C163" t="str">
        <f>"Acquisto prodotti speciali per squadre Derattizzazione/Disindestazione"</f>
        <v>Acquisto prodotti speciali per squadre Derattizzazione/Disindestazione</v>
      </c>
      <c r="D163" t="str">
        <f>"23-AFFIDAMENTO DIRETTO"</f>
        <v>23-AFFIDAMENTO DIRETTO</v>
      </c>
      <c r="E163" t="str">
        <f>"COLKIM SRL - 02793701208"</f>
        <v>COLKIM SRL - 02793701208</v>
      </c>
      <c r="F163" t="str">
        <f>"2.384,92 EUR"</f>
        <v>2.384,92 EUR</v>
      </c>
      <c r="G163" t="str">
        <f>"06/12/2018 - 06/12/2018"</f>
        <v>06/12/2018 - 06/12/2018</v>
      </c>
      <c r="H163" t="str">
        <f>"0,00 EUR"</f>
        <v>0,00 EUR</v>
      </c>
    </row>
    <row r="164" spans="1:8" x14ac:dyDescent="0.25">
      <c r="A164" t="str">
        <f>"Z8A244BE60"</f>
        <v>Z8A244BE60</v>
      </c>
      <c r="B164" t="str">
        <f t="shared" si="12"/>
        <v>Napoli Servizi S.p.A. - 07577090637</v>
      </c>
      <c r="C164" t="str">
        <f>"INTERVENTO PRESSO LO STADIO S. PAOLO"</f>
        <v>INTERVENTO PRESSO LO STADIO S. PAOLO</v>
      </c>
      <c r="D164" t="str">
        <f>"01-PROCEDURA APERTA"</f>
        <v>01-PROCEDURA APERTA</v>
      </c>
      <c r="E164" t="str">
        <f>"GE.GI SRL - 06163961219"</f>
        <v>GE.GI SRL - 06163961219</v>
      </c>
      <c r="F164" t="str">
        <f>"972,71 EUR"</f>
        <v>972,71 EUR</v>
      </c>
      <c r="G164" t="str">
        <f>"02/07/2018 - 02/07/2018"</f>
        <v>02/07/2018 - 02/07/2018</v>
      </c>
      <c r="H164" t="str">
        <f>"972,71 EUR"</f>
        <v>972,71 EUR</v>
      </c>
    </row>
    <row r="165" spans="1:8" x14ac:dyDescent="0.25">
      <c r="A165" t="str">
        <f>"Z8E2351E29"</f>
        <v>Z8E2351E29</v>
      </c>
      <c r="B165" t="str">
        <f t="shared" si="12"/>
        <v>Napoli Servizi S.p.A. - 07577090637</v>
      </c>
      <c r="C165" t="str">
        <f>"ATTIVITA' DI MONITORAGGIO STRUTTURALE SU IMMOBILE SITO IN NAPOLI - VICOLETTO 1° POLITI N° 22 PROT. 20502/18 DEL 12/04/2018"</f>
        <v>ATTIVITA' DI MONITORAGGIO STRUTTURALE SU IMMOBILE SITO IN NAPOLI - VICOLETTO 1° POLITI N° 22 PROT. 20502/18 DEL 12/04/2018</v>
      </c>
      <c r="D165" t="str">
        <f>"23-AFFIDAMENTO DIRETTO"</f>
        <v>23-AFFIDAMENTO DIRETTO</v>
      </c>
      <c r="E165" t="str">
        <f>"ISTEMI SAS - 04629350655"</f>
        <v>ISTEMI SAS - 04629350655</v>
      </c>
      <c r="F165" t="str">
        <f>"3.000,00 EUR"</f>
        <v>3.000,00 EUR</v>
      </c>
      <c r="G165" t="str">
        <f>"24/04/2018 - 30/06/2018"</f>
        <v>24/04/2018 - 30/06/2018</v>
      </c>
      <c r="H165" t="str">
        <f>"0,00 EUR"</f>
        <v>0,00 EUR</v>
      </c>
    </row>
    <row r="166" spans="1:8" x14ac:dyDescent="0.25">
      <c r="A166" t="str">
        <f>"Z8F240DB91"</f>
        <v>Z8F240DB91</v>
      </c>
      <c r="B166" t="str">
        <f t="shared" si="12"/>
        <v>Napoli Servizi S.p.A. - 07577090637</v>
      </c>
      <c r="C166" t="str">
        <f>"ODA 4358105 - Assistenza SW SEPACO"</f>
        <v>ODA 4358105 - Assistenza SW SEPACO</v>
      </c>
      <c r="D166" t="str">
        <f>"01-PROCEDURA APERTA"</f>
        <v>01-PROCEDURA APERTA</v>
      </c>
      <c r="E166" t="str">
        <f>"S &amp; S SISTEMI E SOLUZIONI SRL - 02631130735"</f>
        <v>S &amp; S SISTEMI E SOLUZIONI SRL - 02631130735</v>
      </c>
      <c r="F166" t="str">
        <f>"18.000,00 EUR"</f>
        <v>18.000,00 EUR</v>
      </c>
      <c r="G166" t="str">
        <f>"01/07/2018 - 30/06/2018"</f>
        <v>01/07/2018 - 30/06/2018</v>
      </c>
      <c r="H166" t="str">
        <f>"18.000,00 EUR"</f>
        <v>18.000,00 EUR</v>
      </c>
    </row>
    <row r="167" spans="1:8" x14ac:dyDescent="0.25">
      <c r="A167" t="str">
        <f>"Z8F251FD34"</f>
        <v>Z8F251FD34</v>
      </c>
      <c r="B167" t="str">
        <f t="shared" si="12"/>
        <v>Napoli Servizi S.p.A. - 07577090637</v>
      </c>
      <c r="C167" t="str">
        <f>"Acquisto Serrature"</f>
        <v>Acquisto Serrature</v>
      </c>
      <c r="D167" t="str">
        <f>"01-PROCEDURA APERTA"</f>
        <v>01-PROCEDURA APERTA</v>
      </c>
      <c r="E167" t="str">
        <f>"LA PARTENOPE INFISSI - 07374411218"</f>
        <v>LA PARTENOPE INFISSI - 07374411218</v>
      </c>
      <c r="F167" t="str">
        <f>"810,00 EUR"</f>
        <v>810,00 EUR</v>
      </c>
      <c r="G167" t="str">
        <f>"28/09/2018 - 31/10/2018"</f>
        <v>28/09/2018 - 31/10/2018</v>
      </c>
      <c r="H167" t="str">
        <f>"810,00 EUR"</f>
        <v>810,00 EUR</v>
      </c>
    </row>
    <row r="168" spans="1:8" x14ac:dyDescent="0.25">
      <c r="A168" t="str">
        <f>"Z9021B9FB8"</f>
        <v>Z9021B9FB8</v>
      </c>
      <c r="B168" t="str">
        <f t="shared" si="12"/>
        <v>Napoli Servizi S.p.A. - 07577090637</v>
      </c>
      <c r="C168" t="str">
        <f>"TD 375101 - Canone Archiviazione digitale Ef.Net"</f>
        <v>TD 375101 - Canone Archiviazione digitale Ef.Net</v>
      </c>
      <c r="D168" t="str">
        <f>"23-AFFIDAMENTO DIRETTO"</f>
        <v>23-AFFIDAMENTO DIRETTO</v>
      </c>
      <c r="E168" t="str">
        <f>"ECCOFACTO SRLS - 12755991002"</f>
        <v>ECCOFACTO SRLS - 12755991002</v>
      </c>
      <c r="F168" t="str">
        <f>"1.298,00 EUR"</f>
        <v>1.298,00 EUR</v>
      </c>
      <c r="G168" t="str">
        <f>"01/01/2018 - 31/12/2018"</f>
        <v>01/01/2018 - 31/12/2018</v>
      </c>
      <c r="H168" t="str">
        <f>"1.298,00 EUR"</f>
        <v>1.298,00 EUR</v>
      </c>
    </row>
    <row r="169" spans="1:8" x14ac:dyDescent="0.25">
      <c r="A169" t="str">
        <f>"Z9022ABCA6"</f>
        <v>Z9022ABCA6</v>
      </c>
      <c r="B169" t="str">
        <f t="shared" si="12"/>
        <v>Napoli Servizi S.p.A. - 07577090637</v>
      </c>
      <c r="C169" t="str">
        <f>"Monitoraggio ambientale - Valutazione del rischio"</f>
        <v>Monitoraggio ambientale - Valutazione del rischio</v>
      </c>
      <c r="D169" t="str">
        <f>"23-AFFIDAMENTO DIRETTO"</f>
        <v>23-AFFIDAMENTO DIRETTO</v>
      </c>
      <c r="E169" t="str">
        <f>"INNOVA SRL - 01280480623"</f>
        <v>INNOVA SRL - 01280480623</v>
      </c>
      <c r="F169" t="str">
        <f>"14.450,00 EUR"</f>
        <v>14.450,00 EUR</v>
      </c>
      <c r="G169" t="str">
        <f>"01/01/2018 - 31/12/2018"</f>
        <v>01/01/2018 - 31/12/2018</v>
      </c>
      <c r="H169" t="str">
        <f>"0,00 EUR"</f>
        <v>0,00 EUR</v>
      </c>
    </row>
    <row r="170" spans="1:8" x14ac:dyDescent="0.25">
      <c r="A170" t="str">
        <f>"Z92261703E"</f>
        <v>Z92261703E</v>
      </c>
      <c r="B170" t="str">
        <f t="shared" si="12"/>
        <v>Napoli Servizi S.p.A. - 07577090637</v>
      </c>
      <c r="C170" t="str">
        <f>"Implementazione Software SEPACom"</f>
        <v>Implementazione Software SEPACom</v>
      </c>
      <c r="D170" t="str">
        <f>"23-AFFIDAMENTO DIRETTO"</f>
        <v>23-AFFIDAMENTO DIRETTO</v>
      </c>
      <c r="E170" t="str">
        <f>"S &amp; S SISTEMI E SOLUZIONI SRL - 02631130735"</f>
        <v>S &amp; S SISTEMI E SOLUZIONI SRL - 02631130735</v>
      </c>
      <c r="F170" t="str">
        <f>"15.000,00 EUR"</f>
        <v>15.000,00 EUR</v>
      </c>
      <c r="G170" t="str">
        <f>"01/12/2018 - 31/12/2018"</f>
        <v>01/12/2018 - 31/12/2018</v>
      </c>
      <c r="H170" t="str">
        <f>"0,00 EUR"</f>
        <v>0,00 EUR</v>
      </c>
    </row>
    <row r="171" spans="1:8" x14ac:dyDescent="0.25">
      <c r="A171" t="str">
        <f>"Z93251FD4D"</f>
        <v>Z93251FD4D</v>
      </c>
      <c r="B171" t="str">
        <f t="shared" si="12"/>
        <v>Napoli Servizi S.p.A. - 07577090637</v>
      </c>
      <c r="C171" t="str">
        <f>"Manutenzione Parco AUTO"</f>
        <v>Manutenzione Parco AUTO</v>
      </c>
      <c r="D171" t="str">
        <f>"01-PROCEDURA APERTA"</f>
        <v>01-PROCEDURA APERTA</v>
      </c>
      <c r="E171" t="str">
        <f>"TSM SRL - 07079421215"</f>
        <v>TSM SRL - 07079421215</v>
      </c>
      <c r="F171" t="str">
        <f>"1.925,29 EUR"</f>
        <v>1.925,29 EUR</v>
      </c>
      <c r="G171" t="str">
        <f>"01/07/2018 - 31/12/2018"</f>
        <v>01/07/2018 - 31/12/2018</v>
      </c>
      <c r="H171" t="str">
        <f>"1.404,52 EUR"</f>
        <v>1.404,52 EUR</v>
      </c>
    </row>
    <row r="172" spans="1:8" x14ac:dyDescent="0.25">
      <c r="A172" t="str">
        <f>"Z9823D6C8D"</f>
        <v>Z9823D6C8D</v>
      </c>
      <c r="B172" t="str">
        <f t="shared" si="12"/>
        <v>Napoli Servizi S.p.A. - 07577090637</v>
      </c>
      <c r="C172" t="str">
        <f>"Canone Servizio TELEMACO -- Anno 2018"</f>
        <v>Canone Servizio TELEMACO -- Anno 2018</v>
      </c>
      <c r="D172" t="str">
        <f>"01-PROCEDURA APERTA"</f>
        <v>01-PROCEDURA APERTA</v>
      </c>
      <c r="E172" t="str">
        <f>"INFOCAMERE SOCIETA' CONSORTILE - 02313821007"</f>
        <v>INFOCAMERE SOCIETA' CONSORTILE - 02313821007</v>
      </c>
      <c r="F172" t="str">
        <f>"1.110,00 EUR"</f>
        <v>1.110,00 EUR</v>
      </c>
      <c r="G172" t="str">
        <f>"01/06/2018 - 31/12/2018"</f>
        <v>01/06/2018 - 31/12/2018</v>
      </c>
      <c r="H172" t="str">
        <f>"1.110,00 EUR"</f>
        <v>1.110,00 EUR</v>
      </c>
    </row>
    <row r="173" spans="1:8" x14ac:dyDescent="0.25">
      <c r="A173" t="str">
        <f>"Z991EO2581"</f>
        <v>Z991EO2581</v>
      </c>
      <c r="B173" t="str">
        <f t="shared" si="12"/>
        <v>Napoli Servizi S.p.A. - 07577090637</v>
      </c>
      <c r="C173" t="str">
        <f>"Incarico professionale per \'Hotel Tiberio\'"</f>
        <v>Incarico professionale per \'Hotel Tiberio\'</v>
      </c>
      <c r="D173" t="str">
        <f>"23-AFFIDAMENTO DIRETTO"</f>
        <v>23-AFFIDAMENTO DIRETTO</v>
      </c>
      <c r="E173" t="str">
        <f>"PINTO ARCHITETTO STEFANO - 07829321210"</f>
        <v>PINTO ARCHITETTO STEFANO - 07829321210</v>
      </c>
      <c r="F173" t="str">
        <f>"854,25 EUR"</f>
        <v>854,25 EUR</v>
      </c>
      <c r="G173" t="str">
        <f>"01/09/2018 - 01/10/2018"</f>
        <v>01/09/2018 - 01/10/2018</v>
      </c>
      <c r="H173" t="str">
        <f>"3.492,42 EUR"</f>
        <v>3.492,42 EUR</v>
      </c>
    </row>
    <row r="174" spans="1:8" x14ac:dyDescent="0.25">
      <c r="A174" t="str">
        <f>"ZA323F9399"</f>
        <v>ZA323F9399</v>
      </c>
      <c r="B174" t="str">
        <f t="shared" si="12"/>
        <v>Napoli Servizi S.p.A. - 07577090637</v>
      </c>
      <c r="C174" t="str">
        <f>"ODA 4358929 -"</f>
        <v>ODA 4358929 -</v>
      </c>
      <c r="D174" t="str">
        <f>"01-PROCEDURA APERTA"</f>
        <v>01-PROCEDURA APERTA</v>
      </c>
      <c r="E174" t="str">
        <f>"REGISTER.IT - 02826010163"</f>
        <v>REGISTER.IT - 02826010163</v>
      </c>
      <c r="F174" t="str">
        <f>"120,00 EUR"</f>
        <v>120,00 EUR</v>
      </c>
      <c r="G174" t="str">
        <f>"19/06/2018 - 18/06/2019"</f>
        <v>19/06/2018 - 18/06/2019</v>
      </c>
      <c r="H174" t="str">
        <f>"120,00 EUR"</f>
        <v>120,00 EUR</v>
      </c>
    </row>
    <row r="175" spans="1:8" x14ac:dyDescent="0.25">
      <c r="A175" t="str">
        <f>"ZA325B31C2"</f>
        <v>ZA325B31C2</v>
      </c>
      <c r="B175" t="str">
        <f t="shared" si="12"/>
        <v>Napoli Servizi S.p.A. - 07577090637</v>
      </c>
      <c r="C175" t="str">
        <f>"Manutenzione Autocarri TELAIO FIAT/Citroen"</f>
        <v>Manutenzione Autocarri TELAIO FIAT/Citroen</v>
      </c>
      <c r="D175" t="str">
        <f>"08-AFFIDAMENTO IN ECONOMIA - COTTIMO FIDUCIARIO"</f>
        <v>08-AFFIDAMENTO IN ECONOMIA - COTTIMO FIDUCIARIO</v>
      </c>
      <c r="E175" t="str">
        <f>"AUTO FLEGREA SRL - 08392451210"</f>
        <v>AUTO FLEGREA SRL - 08392451210</v>
      </c>
      <c r="F175" t="str">
        <f>"40.000,00 EUR"</f>
        <v>40.000,00 EUR</v>
      </c>
      <c r="G175" t="str">
        <f>"07/11/2018 - 30/06/2019"</f>
        <v>07/11/2018 - 30/06/2019</v>
      </c>
      <c r="H175" t="str">
        <f>"14.230,30 EUR"</f>
        <v>14.230,30 EUR</v>
      </c>
    </row>
    <row r="176" spans="1:8" x14ac:dyDescent="0.25">
      <c r="A176" t="str">
        <f>"ZA422DCD83"</f>
        <v>ZA422DCD83</v>
      </c>
      <c r="B176" t="str">
        <f t="shared" si="12"/>
        <v>Napoli Servizi S.p.A. - 07577090637</v>
      </c>
      <c r="C176" t="str">
        <f>"Acquisto Materiali Elettrici"</f>
        <v>Acquisto Materiali Elettrici</v>
      </c>
      <c r="D176" t="str">
        <f>"23-AFFIDAMENTO DIRETTO"</f>
        <v>23-AFFIDAMENTO DIRETTO</v>
      </c>
      <c r="E176" t="str">
        <f>"SONEPAR ITALIA - 00825330285"</f>
        <v>SONEPAR ITALIA - 00825330285</v>
      </c>
      <c r="F176" t="str">
        <f>"617,43 EUR"</f>
        <v>617,43 EUR</v>
      </c>
      <c r="G176" t="str">
        <f>"21/03/2018 - 21/03/2018"</f>
        <v>21/03/2018 - 21/03/2018</v>
      </c>
      <c r="H176" t="str">
        <f>"617,43 EUR"</f>
        <v>617,43 EUR</v>
      </c>
    </row>
    <row r="177" spans="1:8" x14ac:dyDescent="0.25">
      <c r="A177" t="str">
        <f>"6797382114"</f>
        <v>6797382114</v>
      </c>
      <c r="B177" t="str">
        <f t="shared" si="12"/>
        <v>Napoli Servizi S.p.A. - 07577090637</v>
      </c>
      <c r="C177" t="str">
        <f>"Gestione Formazione \'Fondimpresa\'"</f>
        <v>Gestione Formazione \'Fondimpresa\'</v>
      </c>
      <c r="D177" t="str">
        <f>"01-PROCEDURA APERTA"</f>
        <v>01-PROCEDURA APERTA</v>
      </c>
      <c r="E177" t="str">
        <f>"E.I.T.D. (EX FOSVI SOC CONSORTILE) - 06763460638"</f>
        <v>E.I.T.D. (EX FOSVI SOC CONSORTILE) - 06763460638</v>
      </c>
      <c r="F177" t="str">
        <f>"180.000,00 EUR"</f>
        <v>180.000,00 EUR</v>
      </c>
      <c r="G177" t="str">
        <f>"13/03/2017 - 30/06/2019"</f>
        <v>13/03/2017 - 30/06/2019</v>
      </c>
      <c r="H177" t="str">
        <f>"103.470,00 EUR"</f>
        <v>103.470,00 EUR</v>
      </c>
    </row>
    <row r="178" spans="1:8" x14ac:dyDescent="0.25">
      <c r="A178" t="str">
        <f>"7145795095"</f>
        <v>7145795095</v>
      </c>
      <c r="B178" t="str">
        <f t="shared" si="12"/>
        <v>Napoli Servizi S.p.A. - 07577090637</v>
      </c>
      <c r="C178" t="str">
        <f>"Adesione Con_Consip SPC2"</f>
        <v>Adesione Con_Consip SPC2</v>
      </c>
      <c r="D178" t="str">
        <f>"26-AFFIDAMENTO DIRETTO IN ADESIONE AD ACCORDO QUADRO/CONVENZIONE"</f>
        <v>26-AFFIDAMENTO DIRETTO IN ADESIONE AD ACCORDO QUADRO/CONVENZIONE</v>
      </c>
      <c r="E178" t="str">
        <f>"FASTWEB SPA - 12878470157"</f>
        <v>FASTWEB SPA - 12878470157</v>
      </c>
      <c r="F178" t="str">
        <f>"525.000,00 EUR"</f>
        <v>525.000,00 EUR</v>
      </c>
      <c r="G178" t="str">
        <f>"14/07/2017 - 30/06/2019"</f>
        <v>14/07/2017 - 30/06/2019</v>
      </c>
      <c r="H178" t="str">
        <f>"426.162,76 EUR"</f>
        <v>426.162,76 EUR</v>
      </c>
    </row>
    <row r="179" spans="1:8" x14ac:dyDescent="0.25">
      <c r="A179" t="str">
        <f>"7349968976"</f>
        <v>7349968976</v>
      </c>
      <c r="B179" t="str">
        <f t="shared" si="12"/>
        <v>Napoli Servizi S.p.A. - 07577090637</v>
      </c>
      <c r="C179" t="str">
        <f>"Adesione Con_Consip Licenze GOV"</f>
        <v>Adesione Con_Consip Licenze GOV</v>
      </c>
      <c r="D179" t="str">
        <f>"26-AFFIDAMENTO DIRETTO IN ADESIONE AD ACCORDO QUADRO/CONVENZIONE"</f>
        <v>26-AFFIDAMENTO DIRETTO IN ADESIONE AD ACCORDO QUADRO/CONVENZIONE</v>
      </c>
      <c r="E179" t="str">
        <f>"FUJITSU TECHNOLOGY SOLUTIONS - 02897010969"</f>
        <v>FUJITSU TECHNOLOGY SOLUTIONS - 02897010969</v>
      </c>
      <c r="F179" t="str">
        <f>"45.076,00 EUR"</f>
        <v>45.076,00 EUR</v>
      </c>
      <c r="G179" t="str">
        <f>"10/02/2018 - 10/02/2019"</f>
        <v>10/02/2018 - 10/02/2019</v>
      </c>
      <c r="H179" t="str">
        <f>"45.076,00 EUR"</f>
        <v>45.076,00 EUR</v>
      </c>
    </row>
    <row r="180" spans="1:8" x14ac:dyDescent="0.25">
      <c r="A180" t="str">
        <f>"7722548037"</f>
        <v>7722548037</v>
      </c>
      <c r="B180" t="str">
        <f t="shared" si="12"/>
        <v>Napoli Servizi S.p.A. - 07577090637</v>
      </c>
      <c r="C180" t="str">
        <f>"RdO_MePA 2132750 - Acquisto TOMBINI"</f>
        <v>RdO_MePA 2132750 - Acquisto TOMBINI</v>
      </c>
      <c r="D180" t="str">
        <f>"07-SISTEMA DINAMICO DI ACQUISIZIONE"</f>
        <v>07-SISTEMA DINAMICO DI ACQUISIZIONE</v>
      </c>
      <c r="E180" t="str">
        <f>"DO.RO. SRL - 06697411210"</f>
        <v>DO.RO. SRL - 06697411210</v>
      </c>
      <c r="F180" t="str">
        <f>"80.000,00 EUR"</f>
        <v>80.000,00 EUR</v>
      </c>
      <c r="G180" t="str">
        <f>"01/12/2018 - 30/06/2019"</f>
        <v>01/12/2018 - 30/06/2019</v>
      </c>
      <c r="H180" t="str">
        <f>"726,80 EUR"</f>
        <v>726,80 EUR</v>
      </c>
    </row>
    <row r="181" spans="1:8" x14ac:dyDescent="0.25">
      <c r="A181" t="str">
        <f>"6907758E38"</f>
        <v>6907758E38</v>
      </c>
      <c r="B181" t="str">
        <f t="shared" si="12"/>
        <v>Napoli Servizi S.p.A. - 07577090637</v>
      </c>
      <c r="C181" t="str">
        <f>"P_Aperta Implementazione SW-Tributi Minori"</f>
        <v>P_Aperta Implementazione SW-Tributi Minori</v>
      </c>
      <c r="D181" t="str">
        <f>"01-PROCEDURA APERTA"</f>
        <v>01-PROCEDURA APERTA</v>
      </c>
      <c r="E181" t="str">
        <f>"SINTAX SRL - 02177970783"</f>
        <v>SINTAX SRL - 02177970783</v>
      </c>
      <c r="F181" t="str">
        <f>"220.768,00 EUR"</f>
        <v>220.768,00 EUR</v>
      </c>
      <c r="G181" t="str">
        <f>"15/12/2017 - 30/06/2019"</f>
        <v>15/12/2017 - 30/06/2019</v>
      </c>
      <c r="H181" t="str">
        <f>"91.187,00 EUR"</f>
        <v>91.187,00 EUR</v>
      </c>
    </row>
    <row r="182" spans="1:8" x14ac:dyDescent="0.25">
      <c r="A182" t="str">
        <f>"7082368AF4"</f>
        <v>7082368AF4</v>
      </c>
      <c r="B182" t="str">
        <f t="shared" si="12"/>
        <v>Napoli Servizi S.p.A. - 07577090637</v>
      </c>
      <c r="C182" t="str">
        <f>"Progettazione \'Via Vicinale PARADISO (NA)\'"</f>
        <v>Progettazione \'Via Vicinale PARADISO (NA)\'</v>
      </c>
      <c r="D182" t="str">
        <f>"01-PROCEDURA APERTA"</f>
        <v>01-PROCEDURA APERTA</v>
      </c>
      <c r="E182" t="str">
        <f>"DE SENA ARCHITETTO GIOVANNI - 00381821214"</f>
        <v>DE SENA ARCHITETTO GIOVANNI - 00381821214</v>
      </c>
      <c r="F182" t="str">
        <f>"42.500,00 EUR"</f>
        <v>42.500,00 EUR</v>
      </c>
      <c r="G182" t="str">
        <f>"21/10/2017 - 31/12/2018"</f>
        <v>21/10/2017 - 31/12/2018</v>
      </c>
      <c r="H182" t="str">
        <f>"26.180,19 EUR"</f>
        <v>26.180,19 EUR</v>
      </c>
    </row>
    <row r="183" spans="1:8" x14ac:dyDescent="0.25">
      <c r="A183" t="str">
        <f>"70823750BE"</f>
        <v>70823750BE</v>
      </c>
      <c r="B183" t="str">
        <f t="shared" si="12"/>
        <v>Napoli Servizi S.p.A. - 07577090637</v>
      </c>
      <c r="C183" t="str">
        <f>"Progettazione \'Viale Colli AMINEI, 34 (NA)\'"</f>
        <v>Progettazione \'Viale Colli AMINEI, 34 (NA)\'</v>
      </c>
      <c r="D183" t="str">
        <f>"22-PROCEDURA NEGOZIATA CON PREVIA INDIZIONE DI GARA (SETTORI SPECIALI)"</f>
        <v>22-PROCEDURA NEGOZIATA CON PREVIA INDIZIONE DI GARA (SETTORI SPECIALI)</v>
      </c>
      <c r="E183" t="str">
        <f>"DELLA VOLPE ARCHITETTO FLAVIO - 06528800631"</f>
        <v>DELLA VOLPE ARCHITETTO FLAVIO - 06528800631</v>
      </c>
      <c r="F183" t="str">
        <f>"19.829,33 EUR"</f>
        <v>19.829,33 EUR</v>
      </c>
      <c r="G183" t="str">
        <f>"27/10/2017 - 31/12/2018"</f>
        <v>27/10/2017 - 31/12/2018</v>
      </c>
      <c r="H183" t="str">
        <f>"27.642,31 EUR"</f>
        <v>27.642,31 EUR</v>
      </c>
    </row>
    <row r="184" spans="1:8" x14ac:dyDescent="0.25">
      <c r="A184" t="str">
        <f>"737303354F"</f>
        <v>737303354F</v>
      </c>
      <c r="B184" t="str">
        <f t="shared" si="12"/>
        <v>Napoli Servizi S.p.A. - 07577090637</v>
      </c>
      <c r="C184" t="str">
        <f>"Lavori di Adeguamento alle vie di ESODO \'Stadio San PAOLO\'"</f>
        <v>Lavori di Adeguamento alle vie di ESODO \'Stadio San PAOLO\'</v>
      </c>
      <c r="D184" t="str">
        <f>"21-PROCEDURA RISTRETTA DERIVANTE DA AVVISI CON CUI SI INDICE LA GARA"</f>
        <v>21-PROCEDURA RISTRETTA DERIVANTE DA AVVISI CON CUI SI INDICE LA GARA</v>
      </c>
      <c r="E184" t="str">
        <f>"HABITAT di Francesco casale - 07526620633"</f>
        <v>HABITAT di Francesco casale - 07526620633</v>
      </c>
      <c r="F184" t="str">
        <f>"328.000,00 EUR"</f>
        <v>328.000,00 EUR</v>
      </c>
      <c r="G184" t="str">
        <f>"16/04/2018 - 31/12/2018"</f>
        <v>16/04/2018 - 31/12/2018</v>
      </c>
      <c r="H184" t="str">
        <f>"201.227,86 EUR"</f>
        <v>201.227,86 EUR</v>
      </c>
    </row>
    <row r="185" spans="1:8" x14ac:dyDescent="0.25">
      <c r="A185" t="str">
        <f>"7391466EBO"</f>
        <v>7391466EBO</v>
      </c>
      <c r="B185" t="str">
        <f t="shared" si="12"/>
        <v>Napoli Servizi S.p.A. - 07577090637</v>
      </c>
      <c r="C185" t="str">
        <f>"RDO-MePA 1846283 - AQ Inteventi per rimozione \'Amianto\'"</f>
        <v>RDO-MePA 1846283 - AQ Inteventi per rimozione \'Amianto\'</v>
      </c>
      <c r="D185" t="str">
        <f>"07-SISTEMA DINAMICO DI ACQUISIZIONE"</f>
        <v>07-SISTEMA DINAMICO DI ACQUISIZIONE</v>
      </c>
      <c r="E185" t="str">
        <f>"ABSIDE S.R.L. - 04841741210"</f>
        <v>ABSIDE S.R.L. - 04841741210</v>
      </c>
      <c r="F185" t="str">
        <f>"200.000,00 EUR"</f>
        <v>200.000,00 EUR</v>
      </c>
      <c r="G185" t="str">
        <f>"13/09/2018 - 30/06/2019"</f>
        <v>13/09/2018 - 30/06/2019</v>
      </c>
      <c r="H185" t="str">
        <f>"15.668,10 EUR"</f>
        <v>15.668,10 EUR</v>
      </c>
    </row>
    <row r="186" spans="1:8" x14ac:dyDescent="0.25">
      <c r="A186" t="str">
        <f>"74094328B5"</f>
        <v>74094328B5</v>
      </c>
      <c r="B186" t="str">
        <f t="shared" si="12"/>
        <v>Napoli Servizi S.p.A. - 07577090637</v>
      </c>
      <c r="C186" t="str">
        <f>"AQ-Espurghi&amp;FosseSettiche 2018/2021"</f>
        <v>AQ-Espurghi&amp;FosseSettiche 2018/2021</v>
      </c>
      <c r="D186" t="str">
        <f>"01-PROCEDURA APERTA"</f>
        <v>01-PROCEDURA APERTA</v>
      </c>
      <c r="E186" t="str">
        <f>"ICM COSTRUZIONI SRL - 07806581216"</f>
        <v>ICM COSTRUZIONI SRL - 07806581216</v>
      </c>
      <c r="F186" t="str">
        <f>"1.045.000,00 EUR"</f>
        <v>1.045.000,00 EUR</v>
      </c>
      <c r="G186" t="str">
        <f>"05/09/2018 - 30/06/2019"</f>
        <v>05/09/2018 - 30/06/2019</v>
      </c>
      <c r="H186" t="str">
        <f>"746.872,67 EUR"</f>
        <v>746.872,67 EUR</v>
      </c>
    </row>
    <row r="187" spans="1:8" x14ac:dyDescent="0.25">
      <c r="A187" t="str">
        <f>"761411132B"</f>
        <v>761411132B</v>
      </c>
      <c r="B187" t="str">
        <f t="shared" si="12"/>
        <v>Napoli Servizi S.p.A. - 07577090637</v>
      </c>
      <c r="C187" t="str">
        <f>"RDO-MePA 1962605 - Assistenza Sistemistica"</f>
        <v>RDO-MePA 1962605 - Assistenza Sistemistica</v>
      </c>
      <c r="D187" t="str">
        <f>"07-SISTEMA DINAMICO DI ACQUISIZIONE"</f>
        <v>07-SISTEMA DINAMICO DI ACQUISIZIONE</v>
      </c>
      <c r="E187" t="str">
        <f>"IDC SPA - 06873000639"</f>
        <v>IDC SPA - 06873000639</v>
      </c>
      <c r="F187" t="str">
        <f>"106.800,00 EUR"</f>
        <v>106.800,00 EUR</v>
      </c>
      <c r="G187" t="str">
        <f>"10/09/2018 - 01/01/1970"</f>
        <v>10/09/2018 - 01/01/1970</v>
      </c>
      <c r="H187" t="str">
        <f>"47.650,00 EUR"</f>
        <v>47.650,00 EUR</v>
      </c>
    </row>
    <row r="188" spans="1:8" x14ac:dyDescent="0.25">
      <c r="A188" t="str">
        <f>"76840728CE"</f>
        <v>76840728CE</v>
      </c>
      <c r="B188" t="str">
        <f t="shared" si="12"/>
        <v>Napoli Servizi S.p.A. - 07577090637</v>
      </c>
      <c r="C188" t="str">
        <f>"RDO-MePA 2047791 Lotto 3 - Acquisto Mat_Elettrici"</f>
        <v>RDO-MePA 2047791 Lotto 3 - Acquisto Mat_Elettrici</v>
      </c>
      <c r="D188" t="str">
        <f>"07-SISTEMA DINAMICO DI ACQUISIZIONE"</f>
        <v>07-SISTEMA DINAMICO DI ACQUISIZIONE</v>
      </c>
      <c r="E188" t="str">
        <f>"HOBBY POINT DI CACACE SALVATORE - 07100301212"</f>
        <v>HOBBY POINT DI CACACE SALVATORE - 07100301212</v>
      </c>
      <c r="F188" t="str">
        <f>"60.000,00 EUR"</f>
        <v>60.000,00 EUR</v>
      </c>
      <c r="G188" t="str">
        <f>"07/11/2018 - 30/06/2019"</f>
        <v>07/11/2018 - 30/06/2019</v>
      </c>
      <c r="H188" t="str">
        <f>"45.277,62 EUR"</f>
        <v>45.277,62 EUR</v>
      </c>
    </row>
    <row r="189" spans="1:8" x14ac:dyDescent="0.25">
      <c r="A189" t="str">
        <f>"Z0223C5FAC"</f>
        <v>Z0223C5FAC</v>
      </c>
      <c r="B189" t="str">
        <f t="shared" si="12"/>
        <v>Napoli Servizi S.p.A. - 07577090637</v>
      </c>
      <c r="C189" t="str">
        <f>"ODA 4553307 - Fatturazione elettronica e Conservazione- AGYO B2B Aziende"</f>
        <v>ODA 4553307 - Fatturazione elettronica e Conservazione- AGYO B2B Aziende</v>
      </c>
      <c r="D189" t="str">
        <f>"01-PROCEDURA APERTA"</f>
        <v>01-PROCEDURA APERTA</v>
      </c>
      <c r="E189" t="str">
        <f>"TEAM SYSTEM C.&amp; D. SRL - 01312731217"</f>
        <v>TEAM SYSTEM C.&amp; D. SRL - 01312731217</v>
      </c>
      <c r="F189" t="str">
        <f>"600,00 EUR"</f>
        <v>600,00 EUR</v>
      </c>
      <c r="G189" t="str">
        <f>"01/07/2018 - 31/12/2018"</f>
        <v>01/07/2018 - 31/12/2018</v>
      </c>
      <c r="H189" t="str">
        <f>"1.777,50 EUR"</f>
        <v>1.777,50 EUR</v>
      </c>
    </row>
    <row r="190" spans="1:8" x14ac:dyDescent="0.25">
      <c r="A190" t="str">
        <f>"Z0B21C2C5B"</f>
        <v>Z0B21C2C5B</v>
      </c>
      <c r="B190" t="str">
        <f t="shared" si="12"/>
        <v>Napoli Servizi S.p.A. - 07577090637</v>
      </c>
      <c r="C190" t="str">
        <f>"Stampe Tipografiche"</f>
        <v>Stampe Tipografiche</v>
      </c>
      <c r="D190" t="str">
        <f>"23-AFFIDAMENTO DIRETTO"</f>
        <v>23-AFFIDAMENTO DIRETTO</v>
      </c>
      <c r="E190" t="str">
        <f>"TIPOG TRIS - 03699121210"</f>
        <v>TIPOG TRIS - 03699121210</v>
      </c>
      <c r="F190" t="str">
        <f>"1.000,00 EUR"</f>
        <v>1.000,00 EUR</v>
      </c>
      <c r="G190" t="str">
        <f>"04/01/2018 - 04/01/2018"</f>
        <v>04/01/2018 - 04/01/2018</v>
      </c>
      <c r="H190" t="str">
        <f>"1.700,00 EUR"</f>
        <v>1.700,00 EUR</v>
      </c>
    </row>
    <row r="191" spans="1:8" x14ac:dyDescent="0.25">
      <c r="A191" t="str">
        <f>"Z16216A39A"</f>
        <v>Z16216A39A</v>
      </c>
      <c r="B191" t="str">
        <f t="shared" si="12"/>
        <v>Napoli Servizi S.p.A. - 07577090637</v>
      </c>
      <c r="C191" t="str">
        <f>"Aff_Diretto \'Progetto Esecutivo Centro Prima Accoglienza - Ex CASERMA BOSCARIELLO\'"</f>
        <v>Aff_Diretto \'Progetto Esecutivo Centro Prima Accoglienza - Ex CASERMA BOSCARIELLO\'</v>
      </c>
      <c r="D191" t="str">
        <f>"23-AFFIDAMENTO DIRETTO"</f>
        <v>23-AFFIDAMENTO DIRETTO</v>
      </c>
      <c r="E191" t="str">
        <f>"IAQUINTO ING.GIUSEPPE - 07590480633"</f>
        <v>IAQUINTO ING.GIUSEPPE - 07590480633</v>
      </c>
      <c r="F191" t="str">
        <f>"13.500,00 EUR"</f>
        <v>13.500,00 EUR</v>
      </c>
      <c r="G191" t="str">
        <f>"20/12/2017 - 04/05/2018"</f>
        <v>20/12/2017 - 04/05/2018</v>
      </c>
      <c r="H191" t="str">
        <f>"3.583,14 EUR"</f>
        <v>3.583,14 EUR</v>
      </c>
    </row>
    <row r="192" spans="1:8" x14ac:dyDescent="0.25">
      <c r="A192" t="str">
        <f>"Z182375762"</f>
        <v>Z182375762</v>
      </c>
      <c r="B192" t="str">
        <f t="shared" si="12"/>
        <v>Napoli Servizi S.p.A. - 07577090637</v>
      </c>
      <c r="C192" t="str">
        <f>"Manutenzione ordinaria e straordinaria impianti antincendio per tutte le sedi direzionali ed operative della Napoli Servizi."</f>
        <v>Manutenzione ordinaria e straordinaria impianti antincendio per tutte le sedi direzionali ed operative della Napoli Servizi.</v>
      </c>
      <c r="D192" t="str">
        <f>"01-PROCEDURA APERTA"</f>
        <v>01-PROCEDURA APERTA</v>
      </c>
      <c r="E192" t="str">
        <f>"L'ESTINTORE SRLS - 08679291214"</f>
        <v>L'ESTINTORE SRLS - 08679291214</v>
      </c>
      <c r="F192" t="str">
        <f>"10.000,00 EUR"</f>
        <v>10.000,00 EUR</v>
      </c>
      <c r="G192" t="str">
        <f>"01/01/2018 - 31/12/2018"</f>
        <v>01/01/2018 - 31/12/2018</v>
      </c>
      <c r="H192" t="str">
        <f>"835,00 EUR"</f>
        <v>835,00 EUR</v>
      </c>
    </row>
    <row r="193" spans="1:8" x14ac:dyDescent="0.25">
      <c r="A193" t="str">
        <f>"7729118DEF"</f>
        <v>7729118DEF</v>
      </c>
      <c r="B193" t="str">
        <f t="shared" si="12"/>
        <v>Napoli Servizi S.p.A. - 07577090637</v>
      </c>
      <c r="C193" t="s">
        <v>18</v>
      </c>
      <c r="D193" t="str">
        <f>"22-PROCEDURA NEGOZIATA CON PREVIA INDIZIONE DI GARA (SETTORI SPECIALI)"</f>
        <v>22-PROCEDURA NEGOZIATA CON PREVIA INDIZIONE DI GARA (SETTORI SPECIALI)</v>
      </c>
      <c r="E193" t="str">
        <f>"Francesco e Vittorio Marsella snc di Giuseppe e Francesco Marsella - 01240441210"</f>
        <v>Francesco e Vittorio Marsella snc di Giuseppe e Francesco Marsella - 01240441210</v>
      </c>
      <c r="F193" t="str">
        <f>"148.800,00 EUR"</f>
        <v>148.800,00 EUR</v>
      </c>
      <c r="G193" t="s">
        <v>19</v>
      </c>
      <c r="H193" t="str">
        <f>"0,00 EUR"</f>
        <v>0,00 EUR</v>
      </c>
    </row>
    <row r="194" spans="1:8" x14ac:dyDescent="0.25">
      <c r="A194" t="str">
        <f>"7731290E53"</f>
        <v>7731290E53</v>
      </c>
      <c r="B194" t="str">
        <f t="shared" si="12"/>
        <v>Napoli Servizi S.p.A. - 07577090637</v>
      </c>
      <c r="C194" t="s">
        <v>20</v>
      </c>
      <c r="D194" t="str">
        <f>"22-PROCEDURA NEGOZIATA CON PREVIA INDIZIONE DI GARA (SETTORI SPECIALI)"</f>
        <v>22-PROCEDURA NEGOZIATA CON PREVIA INDIZIONE DI GARA (SETTORI SPECIALI)</v>
      </c>
      <c r="E194" t="str">
        <f>"ISTEMI srl - 04629350655"</f>
        <v>ISTEMI srl - 04629350655</v>
      </c>
      <c r="F194" t="str">
        <f>"90.000,00 EUR"</f>
        <v>90.000,00 EUR</v>
      </c>
      <c r="G194" t="s">
        <v>21</v>
      </c>
      <c r="H194" t="str">
        <f>"0,00 EUR"</f>
        <v>0,00 EUR</v>
      </c>
    </row>
    <row r="195" spans="1:8" x14ac:dyDescent="0.25">
      <c r="A195" t="str">
        <f>"ZDC213D557"</f>
        <v>ZDC213D557</v>
      </c>
      <c r="B195" t="str">
        <f t="shared" ref="B195:B220" si="13">"Napoli Servizi S.p.A. - 07577090637"</f>
        <v>Napoli Servizi S.p.A. - 07577090637</v>
      </c>
      <c r="C195" t="str">
        <f>"Acquisto Materiali ICT"</f>
        <v>Acquisto Materiali ICT</v>
      </c>
      <c r="D195" t="str">
        <f>"07-SISTEMA DINAMICO DI ACQUISIZIONE"</f>
        <v>07-SISTEMA DINAMICO DI ACQUISIZIONE</v>
      </c>
      <c r="E195" t="str">
        <f>"2M UFFICIO S.R.L. - 07350840638"</f>
        <v>2M UFFICIO S.R.L. - 07350840638</v>
      </c>
      <c r="F195" t="str">
        <f>"8.302,01 EUR"</f>
        <v>8.302,01 EUR</v>
      </c>
      <c r="G195" t="str">
        <f>"12/12/2017 - 12/12/2017"</f>
        <v>12/12/2017 - 12/12/2017</v>
      </c>
      <c r="H195" t="str">
        <f>"8.302,01 EUR"</f>
        <v>8.302,01 EUR</v>
      </c>
    </row>
    <row r="196" spans="1:8" x14ac:dyDescent="0.25">
      <c r="A196" t="str">
        <f>"ZDC216673C"</f>
        <v>ZDC216673C</v>
      </c>
      <c r="B196" t="str">
        <f t="shared" si="13"/>
        <v>Napoli Servizi S.p.A. - 07577090637</v>
      </c>
      <c r="C196" t="str">
        <f>"Acquisto Materiali Derattizzanti/Disinfestanti"</f>
        <v>Acquisto Materiali Derattizzanti/Disinfestanti</v>
      </c>
      <c r="D196" t="str">
        <f>"23-AFFIDAMENTO DIRETTO"</f>
        <v>23-AFFIDAMENTO DIRETTO</v>
      </c>
      <c r="E196" t="str">
        <f>"BAYER CROP SCIENCE - 11334750152"</f>
        <v>BAYER CROP SCIENCE - 11334750152</v>
      </c>
      <c r="F196" t="str">
        <f>"6.090,00 EUR"</f>
        <v>6.090,00 EUR</v>
      </c>
      <c r="G196" t="str">
        <f>"04/12/2017 - 04/12/2017"</f>
        <v>04/12/2017 - 04/12/2017</v>
      </c>
      <c r="H196" t="str">
        <f>"6.090,00 EUR"</f>
        <v>6.090,00 EUR</v>
      </c>
    </row>
    <row r="197" spans="1:8" x14ac:dyDescent="0.25">
      <c r="A197" t="str">
        <f>"ZDE1A77A75"</f>
        <v>ZDE1A77A75</v>
      </c>
      <c r="B197" t="str">
        <f t="shared" si="13"/>
        <v>Napoli Servizi S.p.A. - 07577090637</v>
      </c>
      <c r="C197" t="str">
        <f>"Acquisto Materiali Idraulici/Elettrici"</f>
        <v>Acquisto Materiali Idraulici/Elettrici</v>
      </c>
      <c r="D197" t="str">
        <f>"23-AFFIDAMENTO DIRETTO"</f>
        <v>23-AFFIDAMENTO DIRETTO</v>
      </c>
      <c r="E197" t="str">
        <f>"IDROTERMOTECNICA SRL - 05812010634"</f>
        <v>IDROTERMOTECNICA SRL - 05812010634</v>
      </c>
      <c r="F197" t="str">
        <f>"40.000,00 EUR"</f>
        <v>40.000,00 EUR</v>
      </c>
      <c r="G197" t="str">
        <f>"01/01/2016 - 22/05/2017"</f>
        <v>01/01/2016 - 22/05/2017</v>
      </c>
      <c r="H197" t="str">
        <f>"28.321,68 EUR"</f>
        <v>28.321,68 EUR</v>
      </c>
    </row>
    <row r="198" spans="1:8" x14ac:dyDescent="0.25">
      <c r="A198" t="str">
        <f>"ZE01FA0EE2"</f>
        <v>ZE01FA0EE2</v>
      </c>
      <c r="B198" t="str">
        <f t="shared" si="13"/>
        <v>Napoli Servizi S.p.A. - 07577090637</v>
      </c>
      <c r="C198" t="str">
        <f>"VERIFICA E RIPRISTINO MESSA A TERRA IMPIANTO ELETTRICO STADIO S. PAOLO"</f>
        <v>VERIFICA E RIPRISTINO MESSA A TERRA IMPIANTO ELETTRICO STADIO S. PAOLO</v>
      </c>
      <c r="D198" t="str">
        <f>"01-PROCEDURA APERTA"</f>
        <v>01-PROCEDURA APERTA</v>
      </c>
      <c r="E198" t="str">
        <f>"MITEC DI RUSSO ANTONIO - 07051150634"</f>
        <v>MITEC DI RUSSO ANTONIO - 07051150634</v>
      </c>
      <c r="F198" t="str">
        <f>"7.000,00 EUR"</f>
        <v>7.000,00 EUR</v>
      </c>
      <c r="G198" t="str">
        <f>"10/08/2017 - 31/12/2017"</f>
        <v>10/08/2017 - 31/12/2017</v>
      </c>
      <c r="H198" t="str">
        <f>"9.000,00 EUR"</f>
        <v>9.000,00 EUR</v>
      </c>
    </row>
    <row r="199" spans="1:8" x14ac:dyDescent="0.25">
      <c r="A199" t="str">
        <f>"ZE21CDA101"</f>
        <v>ZE21CDA101</v>
      </c>
      <c r="B199" t="str">
        <f t="shared" si="13"/>
        <v>Napoli Servizi S.p.A. - 07577090637</v>
      </c>
      <c r="C199" t="str">
        <f>"Canone Gecom Plus Paghe,Canone Gamma Enterprise,Canone H1,Canone HeadCount,Canone TeamPortal"</f>
        <v>Canone Gecom Plus Paghe,Canone Gamma Enterprise,Canone H1,Canone HeadCount,Canone TeamPortal</v>
      </c>
      <c r="D199" t="str">
        <f>"23-AFFIDAMENTO DIRETTO"</f>
        <v>23-AFFIDAMENTO DIRETTO</v>
      </c>
      <c r="E199" t="str">
        <f>"TEAM SYSTEM C.&amp; D. SRL - 01312731217"</f>
        <v>TEAM SYSTEM C.&amp; D. SRL - 01312731217</v>
      </c>
      <c r="F199" t="str">
        <f>"23.000,00 EUR"</f>
        <v>23.000,00 EUR</v>
      </c>
      <c r="G199" t="str">
        <f>"01/01/2017 - 31/12/2017"</f>
        <v>01/01/2017 - 31/12/2017</v>
      </c>
      <c r="H199" t="str">
        <f>"28.060,00 EUR"</f>
        <v>28.060,00 EUR</v>
      </c>
    </row>
    <row r="200" spans="1:8" x14ac:dyDescent="0.25">
      <c r="A200" t="str">
        <f>"ZE42054BAD"</f>
        <v>ZE42054BAD</v>
      </c>
      <c r="B200" t="str">
        <f t="shared" si="13"/>
        <v>Napoli Servizi S.p.A. - 07577090637</v>
      </c>
      <c r="C200" t="str">
        <f>"Noleggio Spazzatrice Stradale"</f>
        <v>Noleggio Spazzatrice Stradale</v>
      </c>
      <c r="D200" t="str">
        <f>"08-AFFIDAMENTO IN ECONOMIA - COTTIMO FIDUCIARIO"</f>
        <v>08-AFFIDAMENTO IN ECONOMIA - COTTIMO FIDUCIARIO</v>
      </c>
      <c r="E200" t="str">
        <f>"La Gardenia Srl - 05983520635"</f>
        <v>La Gardenia Srl - 05983520635</v>
      </c>
      <c r="F200" t="str">
        <f>"2.528,00 EUR"</f>
        <v>2.528,00 EUR</v>
      </c>
      <c r="G200" t="str">
        <f>"17/10/2017 - 17/11/2017"</f>
        <v>17/10/2017 - 17/11/2017</v>
      </c>
      <c r="H200" t="str">
        <f>"3.084,16 EUR"</f>
        <v>3.084,16 EUR</v>
      </c>
    </row>
    <row r="201" spans="1:8" x14ac:dyDescent="0.25">
      <c r="A201" t="str">
        <f>"ZE82017849"</f>
        <v>ZE82017849</v>
      </c>
      <c r="B201" t="str">
        <f t="shared" si="13"/>
        <v>Napoli Servizi S.p.A. - 07577090637</v>
      </c>
      <c r="C201" t="str">
        <f>"Manutenzione Decespugliatori MAN_Verde"</f>
        <v>Manutenzione Decespugliatori MAN_Verde</v>
      </c>
      <c r="D201" t="str">
        <f>"23-AFFIDAMENTO DIRETTO"</f>
        <v>23-AFFIDAMENTO DIRETTO</v>
      </c>
      <c r="E201" t="str">
        <f>"PALOMBA SERVICE di R. PALOMBA - 02875211217"</f>
        <v>PALOMBA SERVICE di R. PALOMBA - 02875211217</v>
      </c>
      <c r="F201" t="str">
        <f>"728,20 EUR"</f>
        <v>728,20 EUR</v>
      </c>
      <c r="G201" t="str">
        <f>"29/09/2017 - 31/12/2017"</f>
        <v>29/09/2017 - 31/12/2017</v>
      </c>
      <c r="H201" t="str">
        <f>"728,20 EUR"</f>
        <v>728,20 EUR</v>
      </c>
    </row>
    <row r="202" spans="1:8" x14ac:dyDescent="0.25">
      <c r="A202" t="str">
        <f>"ZE92022BFB"</f>
        <v>ZE92022BFB</v>
      </c>
      <c r="B202" t="str">
        <f t="shared" si="13"/>
        <v>Napoli Servizi S.p.A. - 07577090637</v>
      </c>
      <c r="C202" t="str">
        <f>"Acquisto Segnaletica Stradale PIS"</f>
        <v>Acquisto Segnaletica Stradale PIS</v>
      </c>
      <c r="D202" t="str">
        <f>"07-SISTEMA DINAMICO DI ACQUISIZIONE"</f>
        <v>07-SISTEMA DINAMICO DI ACQUISIZIONE</v>
      </c>
      <c r="E202" t="str">
        <f>"DIVEA SRL - 06623711212"</f>
        <v>DIVEA SRL - 06623711212</v>
      </c>
      <c r="F202" t="str">
        <f>"40.000,00 EUR"</f>
        <v>40.000,00 EUR</v>
      </c>
      <c r="G202" t="str">
        <f>"18/10/2017 - 30/06/2018"</f>
        <v>18/10/2017 - 30/06/2018</v>
      </c>
      <c r="H202" t="str">
        <f>"23.835,60 EUR"</f>
        <v>23.835,60 EUR</v>
      </c>
    </row>
    <row r="203" spans="1:8" x14ac:dyDescent="0.25">
      <c r="A203" t="str">
        <f>"ZEB1E10A7C"</f>
        <v>ZEB1E10A7C</v>
      </c>
      <c r="B203" t="str">
        <f t="shared" si="13"/>
        <v>Napoli Servizi S.p.A. - 07577090637</v>
      </c>
      <c r="C203" t="str">
        <f>"Portale TRASPARENZA E ALBO FORNITORI"</f>
        <v>Portale TRASPARENZA E ALBO FORNITORI</v>
      </c>
      <c r="D203" t="str">
        <f>"23-AFFIDAMENTO DIRETTO"</f>
        <v>23-AFFIDAMENTO DIRETTO</v>
      </c>
      <c r="E203" t="str">
        <f>"MEDIACONSULT SRL - 07189200723"</f>
        <v>MEDIACONSULT SRL - 07189200723</v>
      </c>
      <c r="F203" t="str">
        <f>"15.250,00 EUR"</f>
        <v>15.250,00 EUR</v>
      </c>
      <c r="G203" t="str">
        <f>"01/04/2017 - 31/07/2018"</f>
        <v>01/04/2017 - 31/07/2018</v>
      </c>
      <c r="H203" t="str">
        <f>"18.605,00 EUR"</f>
        <v>18.605,00 EUR</v>
      </c>
    </row>
    <row r="204" spans="1:8" x14ac:dyDescent="0.25">
      <c r="A204" t="str">
        <f>"ZEB1EDD445"</f>
        <v>ZEB1EDD445</v>
      </c>
      <c r="B204" t="str">
        <f t="shared" si="13"/>
        <v>Napoli Servizi S.p.A. - 07577090637</v>
      </c>
      <c r="C204" t="str">
        <f>"Acquisto Materiali Affissioni &amp; Pubblicità"</f>
        <v>Acquisto Materiali Affissioni &amp; Pubblicità</v>
      </c>
      <c r="D204" t="str">
        <f>"23-AFFIDAMENTO DIRETTO"</f>
        <v>23-AFFIDAMENTO DIRETTO</v>
      </c>
      <c r="E204" t="str">
        <f>"LOMBARDI NICOLA - 07412320157"</f>
        <v>LOMBARDI NICOLA - 07412320157</v>
      </c>
      <c r="F204" t="str">
        <f>"1.488,00 EUR"</f>
        <v>1.488,00 EUR</v>
      </c>
      <c r="G204" t="str">
        <f>"30/05/2017 - 30/05/2017"</f>
        <v>30/05/2017 - 30/05/2017</v>
      </c>
      <c r="H204" t="str">
        <f>"1.815,36 EUR"</f>
        <v>1.815,36 EUR</v>
      </c>
    </row>
    <row r="205" spans="1:8" x14ac:dyDescent="0.25">
      <c r="A205" t="str">
        <f>"ZF21E6ED64"</f>
        <v>ZF21E6ED64</v>
      </c>
      <c r="B205" t="str">
        <f t="shared" si="13"/>
        <v>Napoli Servizi S.p.A. - 07577090637</v>
      </c>
      <c r="C205" t="str">
        <f>"Acquisto Cassone Servizio PIS"</f>
        <v>Acquisto Cassone Servizio PIS</v>
      </c>
      <c r="D205" t="str">
        <f>"08-AFFIDAMENTO IN ECONOMIA - COTTIMO FIDUCIARIO"</f>
        <v>08-AFFIDAMENTO IN ECONOMIA - COTTIMO FIDUCIARIO</v>
      </c>
      <c r="E205" t="str">
        <f>"CARPENTERIA F.LLI CARNOVALI SRL - 00677650988"</f>
        <v>CARPENTERIA F.LLI CARNOVALI SRL - 00677650988</v>
      </c>
      <c r="F205" t="str">
        <f>"5.280,00 EUR"</f>
        <v>5.280,00 EUR</v>
      </c>
      <c r="G205" t="str">
        <f>"09/06/2017 - 09/06/2017"</f>
        <v>09/06/2017 - 09/06/2017</v>
      </c>
      <c r="H205" t="str">
        <f>"5.280,00 EUR"</f>
        <v>5.280,00 EUR</v>
      </c>
    </row>
    <row r="206" spans="1:8" x14ac:dyDescent="0.25">
      <c r="A206" t="str">
        <f>"ZOC1E71659"</f>
        <v>ZOC1E71659</v>
      </c>
      <c r="B206" t="str">
        <f t="shared" si="13"/>
        <v>Napoli Servizi S.p.A. - 07577090637</v>
      </c>
      <c r="C206" t="str">
        <f>"Acquisto Scanner KODAK i3400"</f>
        <v>Acquisto Scanner KODAK i3400</v>
      </c>
      <c r="D206" t="str">
        <f>"07-SISTEMA DINAMICO DI ACQUISIZIONE"</f>
        <v>07-SISTEMA DINAMICO DI ACQUISIZIONE</v>
      </c>
      <c r="E206" t="str">
        <f>"DPS INFORMATICA S.N.C. - 01486330309"</f>
        <v>DPS INFORMATICA S.N.C. - 01486330309</v>
      </c>
      <c r="F206" t="str">
        <f>"6.183,00 EUR"</f>
        <v>6.183,00 EUR</v>
      </c>
      <c r="G206" t="str">
        <f>"16/06/2017 - 16/06/2020"</f>
        <v>16/06/2017 - 16/06/2020</v>
      </c>
      <c r="H206" t="str">
        <f>"7.543,26 EUR"</f>
        <v>7.543,26 EUR</v>
      </c>
    </row>
    <row r="207" spans="1:8" x14ac:dyDescent="0.25">
      <c r="A207" t="str">
        <f>"Z691D6B089"</f>
        <v>Z691D6B089</v>
      </c>
      <c r="B207" t="str">
        <f t="shared" si="13"/>
        <v>Napoli Servizi S.p.A. - 07577090637</v>
      </c>
      <c r="C207" t="str">
        <f>"Servizio Pubblicazioni GARE"</f>
        <v>Servizio Pubblicazioni GARE</v>
      </c>
      <c r="D207" t="str">
        <f>"23-AFFIDAMENTO DIRETTO"</f>
        <v>23-AFFIDAMENTO DIRETTO</v>
      </c>
      <c r="E207" t="str">
        <f>"MEDIA GRAPHIC - 05833480725"</f>
        <v>MEDIA GRAPHIC - 05833480725</v>
      </c>
      <c r="F207" t="str">
        <f>"12.650,00 EUR"</f>
        <v>12.650,00 EUR</v>
      </c>
      <c r="G207" t="str">
        <f>"01/01/2017 - 31/12/2017"</f>
        <v>01/01/2017 - 31/12/2017</v>
      </c>
      <c r="H207" t="str">
        <f>"14.938,00 EUR"</f>
        <v>14.938,00 EUR</v>
      </c>
    </row>
    <row r="208" spans="1:8" x14ac:dyDescent="0.25">
      <c r="A208" t="str">
        <f>"Z6A1EC6B01"</f>
        <v>Z6A1EC6B01</v>
      </c>
      <c r="B208" t="str">
        <f t="shared" si="13"/>
        <v>Napoli Servizi S.p.A. - 07577090637</v>
      </c>
      <c r="C208" t="str">
        <f>"Manutenzione e Assistenza Sistema SW GAMMA"</f>
        <v>Manutenzione e Assistenza Sistema SW GAMMA</v>
      </c>
      <c r="D208" t="str">
        <f>"07-SISTEMA DINAMICO DI ACQUISIZIONE"</f>
        <v>07-SISTEMA DINAMICO DI ACQUISIZIONE</v>
      </c>
      <c r="E208" t="str">
        <f>"TEAM SYSTEM C.&amp; D. SRL - 01312731217"</f>
        <v>TEAM SYSTEM C.&amp; D. SRL - 01312731217</v>
      </c>
      <c r="F208" t="str">
        <f>"12.000,00 EUR"</f>
        <v>12.000,00 EUR</v>
      </c>
      <c r="G208" t="str">
        <f>"01/06/2017 - 30/06/2018"</f>
        <v>01/06/2017 - 30/06/2018</v>
      </c>
      <c r="H208" t="str">
        <f>"6.313,75 EUR"</f>
        <v>6.313,75 EUR</v>
      </c>
    </row>
    <row r="209" spans="1:8" x14ac:dyDescent="0.25">
      <c r="A209" t="str">
        <f>"Z6A209A9DD"</f>
        <v>Z6A209A9DD</v>
      </c>
      <c r="B209" t="str">
        <f t="shared" si="13"/>
        <v>Napoli Servizi S.p.A. - 07577090637</v>
      </c>
      <c r="C209" t="str">
        <f>"Acquisto Materiali Idraulici/Elettrici"</f>
        <v>Acquisto Materiali Idraulici/Elettrici</v>
      </c>
      <c r="D209" t="str">
        <f>"08-AFFIDAMENTO IN ECONOMIA - COTTIMO FIDUCIARIO"</f>
        <v>08-AFFIDAMENTO IN ECONOMIA - COTTIMO FIDUCIARIO</v>
      </c>
      <c r="E209" t="str">
        <f>"IDROTERMOTECNICA SRL - 05812010634"</f>
        <v>IDROTERMOTECNICA SRL - 05812010634</v>
      </c>
      <c r="F209" t="str">
        <f>"40.000,00 EUR"</f>
        <v>40.000,00 EUR</v>
      </c>
      <c r="G209" t="str">
        <f>"01/11/2017 - 30/06/2018"</f>
        <v>01/11/2017 - 30/06/2018</v>
      </c>
      <c r="H209" t="str">
        <f>"41.226,20 EUR"</f>
        <v>41.226,20 EUR</v>
      </c>
    </row>
    <row r="210" spans="1:8" x14ac:dyDescent="0.25">
      <c r="A210" t="str">
        <f>"Z6B1EB4231"</f>
        <v>Z6B1EB4231</v>
      </c>
      <c r="B210" t="str">
        <f t="shared" si="13"/>
        <v>Napoli Servizi S.p.A. - 07577090637</v>
      </c>
      <c r="C210" t="str">
        <f>"SW Kit Adempimenti ALYANTE/Gamma"</f>
        <v>SW Kit Adempimenti ALYANTE/Gamma</v>
      </c>
      <c r="D210" t="str">
        <f t="shared" ref="D210:D217" si="14">"23-AFFIDAMENTO DIRETTO"</f>
        <v>23-AFFIDAMENTO DIRETTO</v>
      </c>
      <c r="E210" t="str">
        <f>"TEAM SYSTEM C.&amp; D. SRL - 01312731217"</f>
        <v>TEAM SYSTEM C.&amp; D. SRL - 01312731217</v>
      </c>
      <c r="F210" t="str">
        <f>"707,00 EUR"</f>
        <v>707,00 EUR</v>
      </c>
      <c r="G210" t="str">
        <f>"01/05/2017 - 31/12/2017"</f>
        <v>01/05/2017 - 31/12/2017</v>
      </c>
      <c r="H210" t="str">
        <f>"0,00 EUR"</f>
        <v>0,00 EUR</v>
      </c>
    </row>
    <row r="211" spans="1:8" x14ac:dyDescent="0.25">
      <c r="A211" t="str">
        <f>"Z762068727"</f>
        <v>Z762068727</v>
      </c>
      <c r="B211" t="str">
        <f t="shared" si="13"/>
        <v>Napoli Servizi S.p.A. - 07577090637</v>
      </c>
      <c r="C211" t="str">
        <f>"Acquisto BICI Elettriche"</f>
        <v>Acquisto BICI Elettriche</v>
      </c>
      <c r="D211" t="str">
        <f t="shared" si="14"/>
        <v>23-AFFIDAMENTO DIRETTO</v>
      </c>
      <c r="E211" t="str">
        <f>"DECATHLON ITALIA SRL UNIPERSONALE - 11005760159"</f>
        <v>DECATHLON ITALIA SRL UNIPERSONALE - 11005760159</v>
      </c>
      <c r="F211" t="str">
        <f>"1.927,22 EUR"</f>
        <v>1.927,22 EUR</v>
      </c>
      <c r="G211" t="str">
        <f>"17/10/2017 - 17/10/2017"</f>
        <v>17/10/2017 - 17/10/2017</v>
      </c>
      <c r="H211" t="str">
        <f>"1.967,22 EUR"</f>
        <v>1.967,22 EUR</v>
      </c>
    </row>
    <row r="212" spans="1:8" x14ac:dyDescent="0.25">
      <c r="A212" t="str">
        <f>"Z79200A20A"</f>
        <v>Z79200A20A</v>
      </c>
      <c r="B212" t="str">
        <f t="shared" si="13"/>
        <v>Napoli Servizi S.p.A. - 07577090637</v>
      </c>
      <c r="C212" t="str">
        <f>"Acquisto Materiali ICT"</f>
        <v>Acquisto Materiali ICT</v>
      </c>
      <c r="D212" t="str">
        <f t="shared" si="14"/>
        <v>23-AFFIDAMENTO DIRETTO</v>
      </c>
      <c r="E212" t="str">
        <f>"GIANNONE COMPUTERS SAS DI GIANNONE FRANCO - 01170160889"</f>
        <v>GIANNONE COMPUTERS SAS DI GIANNONE FRANCO - 01170160889</v>
      </c>
      <c r="F212" t="str">
        <f>"1.493,44 EUR"</f>
        <v>1.493,44 EUR</v>
      </c>
      <c r="G212" t="str">
        <f>"26/09/2017 - 26/09/2017"</f>
        <v>26/09/2017 - 26/09/2017</v>
      </c>
      <c r="H212" t="str">
        <f>"1.493,44 EUR"</f>
        <v>1.493,44 EUR</v>
      </c>
    </row>
    <row r="213" spans="1:8" x14ac:dyDescent="0.25">
      <c r="A213" t="str">
        <f>"Z7A20021DE"</f>
        <v>Z7A20021DE</v>
      </c>
      <c r="B213" t="str">
        <f t="shared" si="13"/>
        <v>Napoli Servizi S.p.A. - 07577090637</v>
      </c>
      <c r="C213" t="str">
        <f>"Implementazioni software - \'Patrimonio immobiliare acquisito\'"</f>
        <v>Implementazioni software - \'Patrimonio immobiliare acquisito\'</v>
      </c>
      <c r="D213" t="str">
        <f t="shared" si="14"/>
        <v>23-AFFIDAMENTO DIRETTO</v>
      </c>
      <c r="E213" t="str">
        <f>"ARTENSYS SRL - 06416641212"</f>
        <v>ARTENSYS SRL - 06416641212</v>
      </c>
      <c r="F213" t="str">
        <f>"4.200,00 EUR"</f>
        <v>4.200,00 EUR</v>
      </c>
      <c r="G213" t="str">
        <f>"22/09/2017 - 22/09/2017"</f>
        <v>22/09/2017 - 22/09/2017</v>
      </c>
      <c r="H213" t="str">
        <f>"4.200,00 EUR"</f>
        <v>4.200,00 EUR</v>
      </c>
    </row>
    <row r="214" spans="1:8" x14ac:dyDescent="0.25">
      <c r="A214" t="str">
        <f>"Z8120178F5"</f>
        <v>Z8120178F5</v>
      </c>
      <c r="B214" t="str">
        <f t="shared" si="13"/>
        <v>Napoli Servizi S.p.A. - 07577090637</v>
      </c>
      <c r="C214" t="str">
        <f>"Riparazione Attrezzature Autocarro"</f>
        <v>Riparazione Attrezzature Autocarro</v>
      </c>
      <c r="D214" t="str">
        <f t="shared" si="14"/>
        <v>23-AFFIDAMENTO DIRETTO</v>
      </c>
      <c r="E214" t="str">
        <f>"OPLONTI SERVICE SRL - 02750381218"</f>
        <v>OPLONTI SERVICE SRL - 02750381218</v>
      </c>
      <c r="F214" t="str">
        <f>"3.370,55 EUR"</f>
        <v>3.370,55 EUR</v>
      </c>
      <c r="G214" t="str">
        <f>"01/01/2017 - 31/12/2017"</f>
        <v>01/01/2017 - 31/12/2017</v>
      </c>
      <c r="H214" t="str">
        <f>"3.370,55 EUR"</f>
        <v>3.370,55 EUR</v>
      </c>
    </row>
    <row r="215" spans="1:8" x14ac:dyDescent="0.25">
      <c r="A215" t="str">
        <f>"Z831CEDE90"</f>
        <v>Z831CEDE90</v>
      </c>
      <c r="B215" t="str">
        <f t="shared" si="13"/>
        <v>Napoli Servizi S.p.A. - 07577090637</v>
      </c>
      <c r="C215" t="str">
        <f>"Acquisto Materiali Affissioni &amp; Pubblicità"</f>
        <v>Acquisto Materiali Affissioni &amp; Pubblicità</v>
      </c>
      <c r="D215" t="str">
        <f t="shared" si="14"/>
        <v>23-AFFIDAMENTO DIRETTO</v>
      </c>
      <c r="E215" t="str">
        <f>"LOMBARDI NICOLA - 07412320157"</f>
        <v>LOMBARDI NICOLA - 07412320157</v>
      </c>
      <c r="F215" t="str">
        <f>"3.456,30 EUR"</f>
        <v>3.456,30 EUR</v>
      </c>
      <c r="G215" t="str">
        <f>"16/01/2017 - 30/03/2017"</f>
        <v>16/01/2017 - 30/03/2017</v>
      </c>
      <c r="H215" t="str">
        <f>"4.216,68 EUR"</f>
        <v>4.216,68 EUR</v>
      </c>
    </row>
    <row r="216" spans="1:8" x14ac:dyDescent="0.25">
      <c r="A216" t="str">
        <f>"Z831EF6D87"</f>
        <v>Z831EF6D87</v>
      </c>
      <c r="B216" t="str">
        <f t="shared" si="13"/>
        <v>Napoli Servizi S.p.A. - 07577090637</v>
      </c>
      <c r="C216" t="str">
        <f>"Acquisto Monitor TV 40' per uso videosorveglianza"</f>
        <v>Acquisto Monitor TV 40' per uso videosorveglianza</v>
      </c>
      <c r="D216" t="str">
        <f t="shared" si="14"/>
        <v>23-AFFIDAMENTO DIRETTO</v>
      </c>
      <c r="E216" t="str">
        <f>"PARTEN UFFICIO - 04770060632"</f>
        <v>PARTEN UFFICIO - 04770060632</v>
      </c>
      <c r="F216" t="str">
        <f>"324,00 EUR"</f>
        <v>324,00 EUR</v>
      </c>
      <c r="G216" t="str">
        <f>"12/06/2017 - 12/06/2017"</f>
        <v>12/06/2017 - 12/06/2017</v>
      </c>
      <c r="H216" t="str">
        <f>"0,00 EUR"</f>
        <v>0,00 EUR</v>
      </c>
    </row>
    <row r="217" spans="1:8" x14ac:dyDescent="0.25">
      <c r="A217" t="str">
        <f>"Z891E3C3A8"</f>
        <v>Z891E3C3A8</v>
      </c>
      <c r="B217" t="str">
        <f t="shared" si="13"/>
        <v>Napoli Servizi S.p.A. - 07577090637</v>
      </c>
      <c r="C217" t="str">
        <f>"REM Assistenza Tecnica"</f>
        <v>REM Assistenza Tecnica</v>
      </c>
      <c r="D217" t="str">
        <f t="shared" si="14"/>
        <v>23-AFFIDAMENTO DIRETTO</v>
      </c>
      <c r="E217" t="str">
        <f>"PROVECO SRL - 03962640482"</f>
        <v>PROVECO SRL - 03962640482</v>
      </c>
      <c r="F217" t="str">
        <f>"3.810,00 EUR"</f>
        <v>3.810,00 EUR</v>
      </c>
      <c r="G217" t="str">
        <f>"01/04/2017 - 31/12/2017"</f>
        <v>01/04/2017 - 31/12/2017</v>
      </c>
      <c r="H217" t="str">
        <f>"4.648,20 EUR"</f>
        <v>4.648,20 EUR</v>
      </c>
    </row>
    <row r="218" spans="1:8" x14ac:dyDescent="0.25">
      <c r="A218" t="str">
        <f>"Z892010670"</f>
        <v>Z892010670</v>
      </c>
      <c r="B218" t="str">
        <f t="shared" si="13"/>
        <v>Napoli Servizi S.p.A. - 07577090637</v>
      </c>
      <c r="C218" t="str">
        <f>"Manutenzione Parco Auto - Telaio PIAGGIO"</f>
        <v>Manutenzione Parco Auto - Telaio PIAGGIO</v>
      </c>
      <c r="D218" t="str">
        <f>"08-AFFIDAMENTO IN ECONOMIA - COTTIMO FIDUCIARIO"</f>
        <v>08-AFFIDAMENTO IN ECONOMIA - COTTIMO FIDUCIARIO</v>
      </c>
      <c r="E218" t="str">
        <f>"CORECAR SAS - 05838721214"</f>
        <v>CORECAR SAS - 05838721214</v>
      </c>
      <c r="F218" t="str">
        <f>"40.000,00 EUR"</f>
        <v>40.000,00 EUR</v>
      </c>
      <c r="G218" t="str">
        <f>"28/09/2017 - 30/06/2018"</f>
        <v>28/09/2017 - 30/06/2018</v>
      </c>
      <c r="H218" t="str">
        <f>"25.503,47 EUR"</f>
        <v>25.503,47 EUR</v>
      </c>
    </row>
    <row r="219" spans="1:8" x14ac:dyDescent="0.25">
      <c r="A219" t="str">
        <f>"Z8B1CCECAE"</f>
        <v>Z8B1CCECAE</v>
      </c>
      <c r="B219" t="str">
        <f t="shared" si="13"/>
        <v>Napoli Servizi S.p.A. - 07577090637</v>
      </c>
      <c r="C219" t="str">
        <f>"REM Rinnovo servizio di assistenza tecnica, manutenzione ed update sulla soluzione software REM-W – GESTIONE PATRIMONIO IMMOBILIARE (vers.web)."</f>
        <v>REM Rinnovo servizio di assistenza tecnica, manutenzione ed update sulla soluzione software REM-W – GESTIONE PATRIMONIO IMMOBILIARE (vers.web).</v>
      </c>
      <c r="D219" t="str">
        <f>"23-AFFIDAMENTO DIRETTO"</f>
        <v>23-AFFIDAMENTO DIRETTO</v>
      </c>
      <c r="E219" t="str">
        <f>"PROVECO SRL - 03962640482"</f>
        <v>PROVECO SRL - 03962640482</v>
      </c>
      <c r="F219" t="str">
        <f>"770,00 EUR"</f>
        <v>770,00 EUR</v>
      </c>
      <c r="G219" t="str">
        <f>"01/01/2017 - 31/03/2017"</f>
        <v>01/01/2017 - 31/03/2017</v>
      </c>
      <c r="H219" t="str">
        <f>"939,40 EUR"</f>
        <v>939,40 EUR</v>
      </c>
    </row>
    <row r="220" spans="1:8" x14ac:dyDescent="0.25">
      <c r="A220" t="str">
        <f>"Z8C1A98484"</f>
        <v>Z8C1A98484</v>
      </c>
      <c r="B220" t="str">
        <f t="shared" si="13"/>
        <v>Napoli Servizi S.p.A. - 07577090637</v>
      </c>
      <c r="C220" t="str">
        <f>"Acquisto Materiali Edili"</f>
        <v>Acquisto Materiali Edili</v>
      </c>
      <c r="D220" t="str">
        <f>"08-AFFIDAMENTO IN ECONOMIA - COTTIMO FIDUCIARIO"</f>
        <v>08-AFFIDAMENTO IN ECONOMIA - COTTIMO FIDUCIARIO</v>
      </c>
      <c r="E220" t="str">
        <f>"DO.RO. SRL - 06697411210"</f>
        <v>DO.RO. SRL - 06697411210</v>
      </c>
      <c r="F220" t="str">
        <f>"40.000,00 EUR"</f>
        <v>40.000,00 EUR</v>
      </c>
      <c r="G220" t="str">
        <f>"13/07/2016 - 30/10/2017"</f>
        <v>13/07/2016 - 30/10/2017</v>
      </c>
      <c r="H220" t="str">
        <f>"62.454,67 EUR"</f>
        <v>62.454,67 EUR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Russo Anna</dc:creator>
  <cp:lastModifiedBy>Russo Anna</cp:lastModifiedBy>
  <dcterms:created xsi:type="dcterms:W3CDTF">2023-11-24T13:13:53Z</dcterms:created>
  <dcterms:modified xsi:type="dcterms:W3CDTF">2023-11-24T13:17:48Z</dcterms:modified>
</cp:coreProperties>
</file>